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" activeTab="1"/>
  </bookViews>
  <sheets>
    <sheet name="Приект 2008 г" sheetId="1" r:id="rId1"/>
    <sheet name="Пр.6 на 01.01.10." sheetId="2" r:id="rId2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K91" authorId="0">
      <text>
        <r>
          <rPr>
            <b/>
            <sz val="8"/>
            <rFont val="Tahoma"/>
            <family val="0"/>
          </rPr>
          <t>oli: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<sst xmlns="http://schemas.openxmlformats.org/spreadsheetml/2006/main" count="284" uniqueCount="206">
  <si>
    <t>Гатчинского муниципального района</t>
  </si>
  <si>
    <t>Наименование показателя</t>
  </si>
  <si>
    <t>Код раздела</t>
  </si>
  <si>
    <t>Бюджет на  2007 год,  тыс.руб.</t>
  </si>
  <si>
    <t>Уточненный  Бюджет на  2007 год,  тыс.руб.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</si>
  <si>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</si>
  <si>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</si>
  <si>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</si>
  <si>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</si>
  <si>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</si>
  <si>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</si>
  <si>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</si>
  <si>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</si>
  <si>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</si>
  <si>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</si>
  <si>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</si>
  <si>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</si>
  <si>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</t>
  </si>
  <si>
    <t>0106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</si>
  <si>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</si>
  <si>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</si>
  <si>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</si>
  <si>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</si>
  <si>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</si>
  <si>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</si>
  <si>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</si>
  <si>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</si>
  <si>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</si>
  <si>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</si>
  <si>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</si>
  <si>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</si>
  <si>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</si>
  <si>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</si>
  <si>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</si>
  <si>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</si>
  <si>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</si>
  <si>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</si>
  <si>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</si>
  <si>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</si>
  <si>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</si>
  <si>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</si>
  <si>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</si>
  <si>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</si>
  <si>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</si>
  <si>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</si>
  <si>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</si>
  <si>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</si>
  <si>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Сельское хозяйство и рыболовство</t>
  </si>
  <si>
    <t>0405</t>
  </si>
  <si>
    <t>Транспорт</t>
  </si>
  <si>
    <t>0408</t>
  </si>
  <si>
    <t>Транспорт (Областные и фед.средства)</t>
  </si>
  <si>
    <t>Связь и информатика</t>
  </si>
  <si>
    <t>0409</t>
  </si>
  <si>
    <t>Связь и информатика (строительство АТС п.Семрино, обл.)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</si>
  <si>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</si>
  <si>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</si>
  <si>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</si>
  <si>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</si>
  <si>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</si>
  <si>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</si>
  <si>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</si>
  <si>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</si>
  <si>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Другие вопросы в области ЖКХ  в т.ч.</t>
  </si>
  <si>
    <t>Капитальные вложение (Адресная  программа)</t>
  </si>
  <si>
    <t xml:space="preserve">Содержание Службы координации </t>
  </si>
  <si>
    <t>Охрана окружающей среды</t>
  </si>
  <si>
    <t>0600</t>
  </si>
  <si>
    <t>0604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</si>
  <si>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</si>
  <si>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</si>
  <si>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</si>
  <si>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</si>
  <si>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</si>
  <si>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</si>
  <si>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</si>
  <si>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</si>
  <si>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в т.ч. </t>
  </si>
  <si>
    <t>0709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</si>
  <si>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</si>
  <si>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</si>
  <si>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</si>
  <si>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</si>
  <si>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</si>
  <si>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</si>
  <si>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</si>
  <si>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</si>
  <si>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</si>
  <si>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</si>
  <si>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</si>
  <si>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</si>
  <si>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Другие вопросы в области культуры, (строительство КДЦ  п.Тайцы обл.средства)</t>
  </si>
  <si>
    <t>Здравоохранение и спорт</t>
  </si>
  <si>
    <t>0900</t>
  </si>
  <si>
    <t>0901</t>
  </si>
  <si>
    <t>0902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</si>
  <si>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</si>
  <si>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</si>
  <si>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</si>
  <si>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</si>
  <si>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Фонд социальной поддержки населения</t>
  </si>
  <si>
    <t>1003</t>
  </si>
  <si>
    <t>Другие вопросы в области социальной политики (Комитет социальной защиты Гатчинского МР)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</si>
  <si>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</si>
  <si>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</si>
  <si>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</si>
  <si>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1101</t>
  </si>
  <si>
    <t>1103</t>
  </si>
  <si>
    <t>ВСЕГО РАСХОДОВ</t>
  </si>
  <si>
    <t>Дефицит бюджета</t>
  </si>
  <si>
    <t>В тм числе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</si>
  <si>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</si>
  <si>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</si>
  <si>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</si>
  <si>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Другие вопросы в области окружающей среды</t>
  </si>
  <si>
    <t>Проект бюджета ГМР 2008 год</t>
  </si>
  <si>
    <t>ПРОЕКТ       БЮДЖЕТА</t>
  </si>
  <si>
    <t>на 2008 год</t>
  </si>
  <si>
    <t>В том числе</t>
  </si>
  <si>
    <t xml:space="preserve">Здрав </t>
  </si>
  <si>
    <t>0112</t>
  </si>
  <si>
    <t>0114</t>
  </si>
  <si>
    <t>0410</t>
  </si>
  <si>
    <t>0412</t>
  </si>
  <si>
    <t>Благоустройство</t>
  </si>
  <si>
    <t>0503</t>
  </si>
  <si>
    <t>0505</t>
  </si>
  <si>
    <t>Экологический контроль</t>
  </si>
  <si>
    <t>0601</t>
  </si>
  <si>
    <t>Стационарная медицинская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</si>
  <si>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</si>
  <si>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</si>
  <si>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</si>
  <si>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</si>
  <si>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Заготовка, переработка, хранение крови и ее компонентов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</si>
  <si>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</si>
  <si>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</si>
  <si>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</si>
  <si>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</si>
  <si>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</si>
  <si>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Охрана семьи и детства</t>
  </si>
  <si>
    <t>Дотации бюджетам МО</t>
  </si>
  <si>
    <t>Субсидии бюджетам МО</t>
  </si>
  <si>
    <t>Субвенции бюджетам МО</t>
  </si>
  <si>
    <t>Иные  межбюджетные трансферты</t>
  </si>
  <si>
    <t>1102</t>
  </si>
  <si>
    <t>1104</t>
  </si>
  <si>
    <t>Функционирование законодательных представительных органов МО</t>
  </si>
  <si>
    <t>Топливно-энергетический комплекс МУП "Райтоп")</t>
  </si>
  <si>
    <t>Капитальные вложение ( средства обл.бюджета)</t>
  </si>
  <si>
    <t>Другие вопросы в области нац. экономики в т.ч.</t>
  </si>
  <si>
    <t>Функ-ние высшего должностного лица МО</t>
  </si>
  <si>
    <t xml:space="preserve">Молодежная политика </t>
  </si>
  <si>
    <r>
      <t xml:space="preserve">Культура </t>
    </r>
    <r>
      <rPr>
        <b/>
        <sz val="10"/>
        <rFont val="Times New Roman"/>
        <family val="1"/>
      </rPr>
      <t>(мероприятия)</t>
    </r>
  </si>
  <si>
    <r>
      <t xml:space="preserve">Культура </t>
    </r>
    <r>
      <rPr>
        <b/>
        <sz val="10"/>
        <rFont val="Times New Roman"/>
        <family val="1"/>
      </rPr>
      <t>(Библиотека)</t>
    </r>
  </si>
  <si>
    <t>Музыкальные школы</t>
  </si>
  <si>
    <t>Транспорт (СОПАП)</t>
  </si>
  <si>
    <t>водо.газо</t>
  </si>
  <si>
    <t>Полн от поселений</t>
  </si>
  <si>
    <t>найм</t>
  </si>
  <si>
    <t>Сл координ</t>
  </si>
  <si>
    <t>адм. КФ</t>
  </si>
  <si>
    <t>Отношение  2008г к 2007 г</t>
  </si>
  <si>
    <t>МУ "ЕРЦ"</t>
  </si>
  <si>
    <r>
      <t xml:space="preserve">Культура </t>
    </r>
    <r>
      <rPr>
        <b/>
        <sz val="10"/>
        <rFont val="Times New Roman"/>
        <family val="1"/>
      </rPr>
      <t>(коллективы)</t>
    </r>
  </si>
  <si>
    <r>
      <t>Амбулаторная помощь</t>
    </r>
    <r>
      <rPr>
        <b/>
        <sz val="12"/>
        <rFont val="Times New Roman"/>
        <family val="1"/>
      </rPr>
      <t>(ФОМС 117624,075)</t>
    </r>
  </si>
  <si>
    <t>Уточненный  Бюджет на  10.10.2007 год,  тыс.руб.</t>
  </si>
  <si>
    <t>Заявки  на 2008 год</t>
  </si>
  <si>
    <t>Проект бюджета на 2008 год за счет собственных доходов</t>
  </si>
  <si>
    <t>Функц-е закон-х представительных органов МО</t>
  </si>
  <si>
    <t>Иные межбюджетные трансферты</t>
  </si>
  <si>
    <t>Изменения за счет изменений раздела</t>
  </si>
  <si>
    <t>Бюджет  ГМР  на  2008 год</t>
  </si>
  <si>
    <t>Изменения  за счет дополнительных средств  из бюджеттов поселений</t>
  </si>
  <si>
    <t>Изменения за счет доходов от предпринимательской деятельности</t>
  </si>
  <si>
    <t>Изменения за счет остатков средств на 1.01.2008 года (бюджет)</t>
  </si>
  <si>
    <t>Всего изменений  по Решению от 29.02.2008 года</t>
  </si>
  <si>
    <t>Изменения за счет  средств областного бюджета</t>
  </si>
  <si>
    <t xml:space="preserve">Изменения за счет  дополнительных доходов </t>
  </si>
  <si>
    <t xml:space="preserve">Другие вопросы в области социальной политики </t>
  </si>
  <si>
    <t>к Решению Совета депутатов</t>
  </si>
  <si>
    <t>№___  от    ноября    2007 года</t>
  </si>
  <si>
    <t xml:space="preserve">Культура </t>
  </si>
  <si>
    <t>Код раздела, подраздела</t>
  </si>
  <si>
    <t>0200</t>
  </si>
  <si>
    <t>0203</t>
  </si>
  <si>
    <t>Национальная оборона</t>
  </si>
  <si>
    <t>Мобилизационная и вневойсковая подготовка</t>
  </si>
  <si>
    <t>Топливно-энергетический комплекс МУП "Райтоп "- дрова)</t>
  </si>
  <si>
    <t>Другие вопросы в области нац. экономики в т.ч.(ген.пл. градост)</t>
  </si>
  <si>
    <t>Жилищное  хозяйство  (найм, кап.ремонт)</t>
  </si>
  <si>
    <t>Коммунальное хозяйство (захоронения)</t>
  </si>
  <si>
    <r>
      <t xml:space="preserve">Культура </t>
    </r>
    <r>
      <rPr>
        <b/>
        <sz val="10"/>
        <rFont val="Times New Roman"/>
        <family val="1"/>
      </rPr>
      <t>(Праздники)</t>
    </r>
  </si>
  <si>
    <t>Здравоохранение, физическая культура и спорт</t>
  </si>
  <si>
    <t>Исполнитель: Лебрехт Л.В.</t>
  </si>
  <si>
    <t>Общеэкономические вопросы</t>
  </si>
  <si>
    <t>0401</t>
  </si>
  <si>
    <t xml:space="preserve">                                                                                                                                              МО   Большеколпанское  сельское  поселение</t>
  </si>
  <si>
    <t>Уточненный  бюджет  на 2009 год  (тыс.руб.)</t>
  </si>
  <si>
    <t>% исполнения            к году</t>
  </si>
  <si>
    <r>
      <t xml:space="preserve">  Исполнение  бюджетных ассигнований по разделам и подразделам, классификации расходов бюджета  МО Большеколпанское сельское поселение за   </t>
    </r>
    <r>
      <rPr>
        <sz val="14"/>
        <rFont val="Stencil"/>
        <family val="5"/>
      </rPr>
      <t>2009</t>
    </r>
    <r>
      <rPr>
        <b/>
        <sz val="12"/>
        <rFont val="Stencil"/>
        <family val="5"/>
      </rPr>
      <t xml:space="preserve"> год.</t>
    </r>
  </si>
  <si>
    <t>Исполнено    в   2009 г.                (тыс. руб.)</t>
  </si>
  <si>
    <t xml:space="preserve">                                      Приложение   6</t>
  </si>
  <si>
    <t xml:space="preserve">                 к Решению Совета депутатов</t>
  </si>
  <si>
    <t>05.02.2010г.</t>
  </si>
  <si>
    <t xml:space="preserve">               № 11      от " 11 "  марта  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</si>
</sst>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0.000"/>
    <numFmt numFmtId="167" formatCode="0.000000"/>
    <numFmt numFmtId="168" formatCode="0.00000"/>
    <numFmt numFmtId="169" formatCode="0.0000"/>
    <numFmt numFmtId="170" formatCode="0.0000000"/>
  </numFmts>
  <fonts count="20">
    <font>
      <sz val="10"/>
      <name val="Arial Cyr"/>
      <family val="0"/>
    </font>
    <font>
      <b/>
      <sz val="14"/>
      <name val="Stencil"/>
      <family val="5"/>
    </font>
    <font>
      <b/>
      <sz val="12"/>
      <name val="Stencil"/>
      <family val="5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0"/>
    </font>
    <font>
      <b/>
      <sz val="11"/>
      <name val="Arial Cyr"/>
      <family val="0"/>
    </font>
    <font>
      <sz val="14"/>
      <name val="Stencil"/>
      <family val="5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49" fontId="8" fillId="0" borderId="6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49" fontId="8" fillId="0" borderId="6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3" fillId="0" borderId="3" xfId="0" applyFont="1" applyBorder="1" applyAlignment="1">
      <alignment wrapText="1"/>
    </xf>
    <xf numFmtId="49" fontId="8" fillId="0" borderId="4" xfId="0" applyNumberFormat="1" applyFont="1" applyBorder="1" applyAlignment="1">
      <alignment horizontal="center" wrapText="1"/>
    </xf>
    <xf numFmtId="0" fontId="0" fillId="4" borderId="0" xfId="0" applyFill="1" applyAlignment="1">
      <alignment/>
    </xf>
    <xf numFmtId="164" fontId="8" fillId="3" borderId="4" xfId="0" applyNumberFormat="1" applyFont="1" applyFill="1" applyBorder="1" applyAlignment="1">
      <alignment horizontal="center" wrapText="1"/>
    </xf>
    <xf numFmtId="164" fontId="8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164" fontId="7" fillId="0" borderId="1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6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/>
    </xf>
    <xf numFmtId="16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8" fillId="3" borderId="0" xfId="0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7" fillId="0" borderId="4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wrapText="1"/>
    </xf>
    <xf numFmtId="164" fontId="7" fillId="5" borderId="4" xfId="0" applyNumberFormat="1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49" fontId="8" fillId="2" borderId="11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64" fontId="12" fillId="0" borderId="0" xfId="0" applyNumberFormat="1" applyFont="1" applyAlignment="1">
      <alignment/>
    </xf>
    <xf numFmtId="0" fontId="8" fillId="0" borderId="4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5" fillId="0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2" fontId="8" fillId="3" borderId="4" xfId="0" applyNumberFormat="1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8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164" fontId="7" fillId="0" borderId="0" xfId="0" applyNumberFormat="1" applyFont="1" applyFill="1" applyAlignment="1">
      <alignment/>
    </xf>
    <xf numFmtId="2" fontId="1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5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7" fillId="0" borderId="8" xfId="0" applyFont="1" applyBorder="1" applyAlignment="1">
      <alignment horizontal="center" wrapText="1"/>
    </xf>
    <xf numFmtId="164" fontId="7" fillId="0" borderId="8" xfId="0" applyNumberFormat="1" applyFont="1" applyBorder="1" applyAlignment="1">
      <alignment horizontal="center" wrapText="1"/>
    </xf>
    <xf numFmtId="164" fontId="7" fillId="5" borderId="8" xfId="0" applyNumberFormat="1" applyFont="1" applyFill="1" applyBorder="1" applyAlignment="1">
      <alignment horizontal="center" wrapText="1"/>
    </xf>
    <xf numFmtId="2" fontId="7" fillId="2" borderId="8" xfId="0" applyNumberFormat="1" applyFont="1" applyFill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166" fontId="7" fillId="0" borderId="8" xfId="0" applyNumberFormat="1" applyFont="1" applyBorder="1" applyAlignment="1">
      <alignment horizontal="center" wrapText="1"/>
    </xf>
    <xf numFmtId="2" fontId="7" fillId="0" borderId="8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43" fontId="0" fillId="0" borderId="4" xfId="18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4" fontId="10" fillId="0" borderId="0" xfId="0" applyNumberFormat="1" applyFont="1" applyFill="1" applyAlignment="1">
      <alignment/>
    </xf>
    <xf numFmtId="0" fontId="3" fillId="0" borderId="3" xfId="0" applyFont="1" applyFill="1" applyBorder="1" applyAlignment="1">
      <alignment horizontal="left" wrapText="1"/>
    </xf>
    <xf numFmtId="2" fontId="12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164" fontId="8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13" fillId="5" borderId="30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6" fillId="0" borderId="30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8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8"/>
  <sheetViews>
    <sheetView workbookViewId="0" topLeftCell="A4">
      <pane xSplit="4" ySplit="4" topLeftCell="E63" activePane="bottomRight" state="frozen"/>
      <selection pane="topLeft" activeCell="A4" sqref="A4"/>
      <selection pane="topRight" activeCell="E4" sqref="E4"/>
      <selection pane="bottomLeft" activeCell="A8" sqref="A8"/>
      <selection pane="bottomRight" activeCell="A4" sqref="A1:IV16384"/>
    </sheetView>
  </sheetViews>
  <sheetFormatPr defaultColWidth="9.00390625" defaultRowHeight="12.75"/>
  <cols>
    <col min="1" max="1" width="42.875" style="0" customWidth="1"/>
    <col min="2" max="2" width="5.625" style="0" customWidth="1"/>
    <col min="3" max="3" width="8.00390625" style="0" hidden="1" customWidth="1"/>
    <col min="4" max="4" width="6.75390625" style="0" hidden="1" customWidth="1"/>
    <col min="5" max="5" width="10.75390625" style="0" customWidth="1"/>
    <col min="6" max="6" width="11.25390625" style="0" customWidth="1"/>
    <col min="7" max="7" width="10.875" style="0" customWidth="1"/>
    <col min="8" max="8" width="10.125" style="0" customWidth="1"/>
    <col min="9" max="9" width="10.00390625" style="0" customWidth="1"/>
    <col min="10" max="10" width="11.00390625" style="0" customWidth="1"/>
    <col min="11" max="11" width="10.875" style="45" customWidth="1"/>
    <col min="12" max="12" width="10.375" style="0" customWidth="1"/>
    <col min="13" max="13" width="9.25390625" style="0" customWidth="1"/>
    <col min="14" max="14" width="9.625" style="0" customWidth="1"/>
    <col min="15" max="15" width="11.00390625" style="40" hidden="1" customWidth="1"/>
    <col min="16" max="16" width="10.625" style="45" hidden="1" customWidth="1"/>
    <col min="17" max="17" width="9.125" style="0" hidden="1" customWidth="1"/>
  </cols>
  <sheetData>
    <row r="1" spans="1:16" ht="15" customHeight="1">
      <c r="A1" s="148" t="s">
        <v>116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3.5" customHeight="1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9.5" customHeight="1" thickBot="1">
      <c r="A3" s="150" t="s">
        <v>117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7" ht="19.5" customHeight="1">
      <c r="A4" s="151" t="s">
        <v>1</v>
      </c>
      <c r="B4" s="154" t="s">
        <v>2</v>
      </c>
      <c r="C4" s="140" t="s">
        <v>3</v>
      </c>
      <c r="D4" s="157"/>
      <c r="E4" s="158"/>
      <c r="F4" s="146" t="s">
        <v>4</v>
      </c>
      <c r="G4" s="139" t="s">
        <v>118</v>
      </c>
      <c r="H4" s="139"/>
      <c r="I4" s="139"/>
      <c r="J4" s="144" t="s">
        <v>115</v>
      </c>
      <c r="K4" s="143" t="s">
        <v>110</v>
      </c>
      <c r="L4" s="143"/>
      <c r="M4" s="143"/>
      <c r="N4" s="146" t="s">
        <v>162</v>
      </c>
      <c r="O4" s="140" t="s">
        <v>5</v>
      </c>
      <c r="P4" s="164" t="s">
        <v>6</v>
      </c>
      <c r="Q4" s="137" t="s">
        <v>7</v>
      </c>
    </row>
    <row r="5" spans="1:17" ht="16.5" customHeight="1">
      <c r="A5" s="152"/>
      <c r="B5" s="155"/>
      <c r="C5" s="141"/>
      <c r="D5" s="159"/>
      <c r="E5" s="160"/>
      <c r="F5" s="147"/>
      <c r="G5" s="139" t="s">
        <v>111</v>
      </c>
      <c r="H5" s="139" t="s">
        <v>112</v>
      </c>
      <c r="I5" s="139" t="s">
        <v>113</v>
      </c>
      <c r="J5" s="145"/>
      <c r="K5" s="143" t="s">
        <v>111</v>
      </c>
      <c r="L5" s="143" t="s">
        <v>112</v>
      </c>
      <c r="M5" s="143" t="s">
        <v>113</v>
      </c>
      <c r="N5" s="147"/>
      <c r="O5" s="141"/>
      <c r="P5" s="165"/>
      <c r="Q5" s="138"/>
    </row>
    <row r="6" spans="1:17" ht="18.75" customHeight="1">
      <c r="A6" s="152"/>
      <c r="B6" s="155"/>
      <c r="C6" s="141"/>
      <c r="D6" s="159"/>
      <c r="E6" s="160"/>
      <c r="F6" s="147"/>
      <c r="G6" s="139"/>
      <c r="H6" s="139"/>
      <c r="I6" s="139"/>
      <c r="J6" s="145"/>
      <c r="K6" s="143"/>
      <c r="L6" s="143"/>
      <c r="M6" s="143"/>
      <c r="N6" s="147"/>
      <c r="O6" s="142"/>
      <c r="P6" s="165"/>
      <c r="Q6" s="138"/>
    </row>
    <row r="7" spans="1:17" ht="0.75" customHeight="1" hidden="1">
      <c r="A7" s="153"/>
      <c r="B7" s="156"/>
      <c r="C7" s="142"/>
      <c r="D7" s="161"/>
      <c r="E7" s="162"/>
      <c r="F7" s="163"/>
      <c r="G7" s="41"/>
      <c r="H7" s="41"/>
      <c r="I7" s="41"/>
      <c r="J7" s="53"/>
      <c r="K7" s="52"/>
      <c r="L7" s="41"/>
      <c r="M7" s="41"/>
      <c r="N7" s="41"/>
      <c r="O7" s="1"/>
      <c r="P7" s="165"/>
      <c r="Q7" s="2"/>
    </row>
    <row r="8" spans="1:17" ht="15.75" customHeight="1">
      <c r="A8" s="3" t="s">
        <v>8</v>
      </c>
      <c r="B8" s="4" t="s">
        <v>9</v>
      </c>
      <c r="C8" s="5">
        <f>SUM(C11:C16)</f>
        <v>81792</v>
      </c>
      <c r="D8" s="5">
        <f>SUM(D11:D16)</f>
        <v>-4889</v>
      </c>
      <c r="E8" s="5">
        <f aca="true" t="shared" si="0" ref="E8:M8">SUM(E9:E16)</f>
        <v>78838.56</v>
      </c>
      <c r="F8" s="5">
        <f t="shared" si="0"/>
        <v>91469.79999999999</v>
      </c>
      <c r="G8" s="5">
        <f t="shared" si="0"/>
        <v>78452.8</v>
      </c>
      <c r="H8" s="5">
        <f t="shared" si="0"/>
        <v>11022</v>
      </c>
      <c r="I8" s="5">
        <f t="shared" si="0"/>
        <v>1995</v>
      </c>
      <c r="J8" s="54">
        <f t="shared" si="0"/>
        <v>97382.1</v>
      </c>
      <c r="K8" s="5">
        <f t="shared" si="0"/>
        <v>86427.7</v>
      </c>
      <c r="L8" s="5">
        <f t="shared" si="0"/>
        <v>10954.400000000001</v>
      </c>
      <c r="M8" s="5">
        <f t="shared" si="0"/>
        <v>0</v>
      </c>
      <c r="N8" s="6">
        <f>K8/G8*100</f>
        <v>110.16522036179714</v>
      </c>
      <c r="O8" s="7">
        <f>K8/K95*100</f>
        <v>5.414021756139154</v>
      </c>
      <c r="P8" s="48">
        <f>SUM(P9:P16)</f>
        <v>47112.100000000006</v>
      </c>
      <c r="Q8" s="8">
        <f>K8/P8*100</f>
        <v>183.4511728409474</v>
      </c>
    </row>
    <row r="9" spans="1:17" ht="15.75" customHeight="1">
      <c r="A9" s="9" t="s">
        <v>151</v>
      </c>
      <c r="B9" s="10" t="s">
        <v>10</v>
      </c>
      <c r="C9" s="5"/>
      <c r="D9" s="5"/>
      <c r="E9" s="11">
        <v>757</v>
      </c>
      <c r="F9" s="11">
        <f>G9+H9+I9</f>
        <v>757</v>
      </c>
      <c r="G9" s="11">
        <v>757</v>
      </c>
      <c r="H9" s="11"/>
      <c r="I9" s="11"/>
      <c r="J9" s="25">
        <f aca="true" t="shared" si="1" ref="J9:J84">K9+L9+M9</f>
        <v>933</v>
      </c>
      <c r="K9" s="11">
        <v>933</v>
      </c>
      <c r="L9" s="11"/>
      <c r="M9" s="11"/>
      <c r="N9" s="6">
        <f aca="true" t="shared" si="2" ref="N9:N72">K9/G9*100</f>
        <v>123.24966974900924</v>
      </c>
      <c r="O9" s="7"/>
      <c r="P9" s="49">
        <v>466.6</v>
      </c>
      <c r="Q9" s="8">
        <f aca="true" t="shared" si="3" ref="Q9:Q84">K9/P9*100</f>
        <v>199.95713673381908</v>
      </c>
    </row>
    <row r="10" spans="1:22" ht="21" customHeight="1">
      <c r="A10" s="12" t="s">
        <v>147</v>
      </c>
      <c r="B10" s="13" t="s">
        <v>11</v>
      </c>
      <c r="C10" s="14">
        <v>2675</v>
      </c>
      <c r="D10" s="14"/>
      <c r="E10" s="11">
        <v>2543</v>
      </c>
      <c r="F10" s="11">
        <f aca="true" t="shared" si="4" ref="F10:F73">G10+H10+I10</f>
        <v>2593</v>
      </c>
      <c r="G10" s="11">
        <v>2593</v>
      </c>
      <c r="H10" s="11"/>
      <c r="I10" s="11"/>
      <c r="J10" s="25">
        <f t="shared" si="1"/>
        <v>3501</v>
      </c>
      <c r="K10" s="11">
        <f>2152+1349</f>
        <v>3501</v>
      </c>
      <c r="L10" s="11"/>
      <c r="M10" s="11"/>
      <c r="N10" s="6">
        <f t="shared" si="2"/>
        <v>135.01735441573467</v>
      </c>
      <c r="O10" s="16"/>
      <c r="P10" s="23">
        <v>942.6</v>
      </c>
      <c r="Q10" s="8">
        <f t="shared" si="3"/>
        <v>371.4194780394653</v>
      </c>
      <c r="V10" s="17"/>
    </row>
    <row r="11" spans="1:24" ht="30">
      <c r="A11" s="18" t="s">
        <v>12</v>
      </c>
      <c r="B11" s="19" t="s">
        <v>13</v>
      </c>
      <c r="C11" s="14">
        <v>45198</v>
      </c>
      <c r="D11" s="14">
        <f>-834-3694</f>
        <v>-4528</v>
      </c>
      <c r="E11" s="11">
        <v>39830</v>
      </c>
      <c r="F11" s="11">
        <f t="shared" si="4"/>
        <v>47382.1</v>
      </c>
      <c r="G11" s="11">
        <f>42752.1+2800</f>
        <v>45552.1</v>
      </c>
      <c r="H11" s="11"/>
      <c r="I11" s="11">
        <v>1830</v>
      </c>
      <c r="J11" s="25">
        <f t="shared" si="1"/>
        <v>46584</v>
      </c>
      <c r="K11" s="11">
        <f>1166+45418</f>
        <v>46584</v>
      </c>
      <c r="L11" s="11"/>
      <c r="M11" s="11"/>
      <c r="N11" s="6">
        <f t="shared" si="2"/>
        <v>102.26531817413466</v>
      </c>
      <c r="O11" s="16"/>
      <c r="P11" s="23">
        <v>26630.9</v>
      </c>
      <c r="Q11" s="8">
        <f t="shared" si="3"/>
        <v>174.92461764341422</v>
      </c>
      <c r="X11" s="20"/>
    </row>
    <row r="12" spans="1:17" ht="12.75" customHeight="1">
      <c r="A12" s="18" t="s">
        <v>14</v>
      </c>
      <c r="B12" s="19" t="s">
        <v>15</v>
      </c>
      <c r="C12" s="14"/>
      <c r="D12" s="14"/>
      <c r="E12" s="11">
        <v>186</v>
      </c>
      <c r="F12" s="11">
        <f t="shared" si="4"/>
        <v>186</v>
      </c>
      <c r="G12" s="11"/>
      <c r="H12" s="11">
        <v>186</v>
      </c>
      <c r="I12" s="11"/>
      <c r="J12" s="25">
        <f t="shared" si="1"/>
        <v>361.1</v>
      </c>
      <c r="K12" s="11"/>
      <c r="L12" s="11">
        <v>361.1</v>
      </c>
      <c r="M12" s="11"/>
      <c r="N12" s="6"/>
      <c r="O12" s="16"/>
      <c r="P12" s="23" t="s">
        <v>16</v>
      </c>
      <c r="Q12" s="8"/>
    </row>
    <row r="13" spans="1:17" ht="30">
      <c r="A13" s="18" t="s">
        <v>17</v>
      </c>
      <c r="B13" s="19" t="s">
        <v>18</v>
      </c>
      <c r="C13" s="14">
        <v>9219</v>
      </c>
      <c r="D13" s="14">
        <v>-160</v>
      </c>
      <c r="E13" s="11">
        <v>7953</v>
      </c>
      <c r="F13" s="11">
        <f t="shared" si="4"/>
        <v>11596.7</v>
      </c>
      <c r="G13" s="11">
        <v>9353</v>
      </c>
      <c r="H13" s="11">
        <v>2243.7</v>
      </c>
      <c r="I13" s="11"/>
      <c r="J13" s="25">
        <f t="shared" si="1"/>
        <v>14222.6</v>
      </c>
      <c r="K13" s="11">
        <f>964+1900.4+9889.6</f>
        <v>12754</v>
      </c>
      <c r="L13" s="11">
        <v>1468.6</v>
      </c>
      <c r="M13" s="11"/>
      <c r="N13" s="6">
        <f t="shared" si="2"/>
        <v>136.36266438575856</v>
      </c>
      <c r="O13" s="16"/>
      <c r="P13" s="23">
        <v>6499.6</v>
      </c>
      <c r="Q13" s="8">
        <f t="shared" si="3"/>
        <v>196.22746015139393</v>
      </c>
    </row>
    <row r="14" spans="1:17" ht="12" customHeight="1">
      <c r="A14" s="18" t="s">
        <v>19</v>
      </c>
      <c r="B14" s="19" t="s">
        <v>20</v>
      </c>
      <c r="C14" s="14"/>
      <c r="D14" s="14"/>
      <c r="E14" s="11"/>
      <c r="F14" s="11">
        <f t="shared" si="4"/>
        <v>1740</v>
      </c>
      <c r="G14" s="11">
        <f>500+1240</f>
        <v>1740</v>
      </c>
      <c r="H14" s="11"/>
      <c r="I14" s="11"/>
      <c r="J14" s="25">
        <f t="shared" si="1"/>
        <v>0</v>
      </c>
      <c r="K14" s="11"/>
      <c r="L14" s="11"/>
      <c r="M14" s="11"/>
      <c r="N14" s="6">
        <f t="shared" si="2"/>
        <v>0</v>
      </c>
      <c r="O14" s="16"/>
      <c r="P14" s="23"/>
      <c r="Q14" s="8"/>
    </row>
    <row r="15" spans="1:17" ht="13.5" customHeight="1">
      <c r="A15" s="57" t="s">
        <v>21</v>
      </c>
      <c r="B15" s="58" t="s">
        <v>120</v>
      </c>
      <c r="C15" s="14">
        <v>6000</v>
      </c>
      <c r="D15" s="14"/>
      <c r="E15" s="11">
        <v>3855</v>
      </c>
      <c r="F15" s="11">
        <f t="shared" si="4"/>
        <v>6887.900000000001</v>
      </c>
      <c r="G15" s="11">
        <f>38.1+5349.8+1500</f>
        <v>6887.900000000001</v>
      </c>
      <c r="H15" s="11"/>
      <c r="I15" s="11"/>
      <c r="J15" s="25">
        <f t="shared" si="1"/>
        <v>6000</v>
      </c>
      <c r="K15" s="11">
        <v>6000</v>
      </c>
      <c r="L15" s="11"/>
      <c r="M15" s="11"/>
      <c r="N15" s="6">
        <f t="shared" si="2"/>
        <v>87.10927858999113</v>
      </c>
      <c r="O15" s="16"/>
      <c r="P15" s="23" t="s">
        <v>16</v>
      </c>
      <c r="Q15" s="8"/>
    </row>
    <row r="16" spans="1:17" ht="12.75" customHeight="1">
      <c r="A16" s="57" t="s">
        <v>22</v>
      </c>
      <c r="B16" s="58" t="s">
        <v>121</v>
      </c>
      <c r="C16" s="14">
        <v>21375</v>
      </c>
      <c r="D16" s="14">
        <f>160+834-4889+3694</f>
        <v>-201</v>
      </c>
      <c r="E16" s="21">
        <f>SUM(E17:E27)</f>
        <v>23714.559999999998</v>
      </c>
      <c r="F16" s="11">
        <f t="shared" si="4"/>
        <v>20327.1</v>
      </c>
      <c r="G16" s="21">
        <f>SUM(G17:G27)</f>
        <v>11569.8</v>
      </c>
      <c r="H16" s="21">
        <f>SUM(H17:H27)</f>
        <v>8592.3</v>
      </c>
      <c r="I16" s="21">
        <f>SUM(I17:I27)</f>
        <v>165</v>
      </c>
      <c r="J16" s="25">
        <f t="shared" si="1"/>
        <v>25780.4</v>
      </c>
      <c r="K16" s="21">
        <f>SUM(K17:K27)</f>
        <v>16655.7</v>
      </c>
      <c r="L16" s="21">
        <f>SUM(L17:L27)</f>
        <v>9124.7</v>
      </c>
      <c r="M16" s="21">
        <f>SUM(M17:M27)</f>
        <v>0</v>
      </c>
      <c r="N16" s="6">
        <f t="shared" si="2"/>
        <v>143.95840896126123</v>
      </c>
      <c r="O16" s="16"/>
      <c r="P16" s="23">
        <f>SUM(P17:P27)</f>
        <v>12572.400000000001</v>
      </c>
      <c r="Q16" s="8">
        <f t="shared" si="3"/>
        <v>132.47828576882694</v>
      </c>
    </row>
    <row r="17" spans="1:17" ht="12.75" customHeight="1">
      <c r="A17" s="18" t="s">
        <v>23</v>
      </c>
      <c r="B17" s="19"/>
      <c r="C17" s="14"/>
      <c r="D17" s="14"/>
      <c r="E17" s="22">
        <v>5369</v>
      </c>
      <c r="F17" s="11">
        <f t="shared" si="4"/>
        <v>3884</v>
      </c>
      <c r="G17" s="21">
        <v>3719</v>
      </c>
      <c r="H17" s="21"/>
      <c r="I17" s="21">
        <v>165</v>
      </c>
      <c r="J17" s="25">
        <f t="shared" si="1"/>
        <v>4643.7</v>
      </c>
      <c r="K17" s="21">
        <v>4643.7</v>
      </c>
      <c r="L17" s="21"/>
      <c r="M17" s="21"/>
      <c r="N17" s="6">
        <f t="shared" si="2"/>
        <v>124.86421080935735</v>
      </c>
      <c r="O17" s="16"/>
      <c r="P17" s="23">
        <v>2007.6</v>
      </c>
      <c r="Q17" s="8">
        <f t="shared" si="3"/>
        <v>231.3060370591751</v>
      </c>
    </row>
    <row r="18" spans="1:17" ht="12.75" customHeight="1">
      <c r="A18" s="18" t="s">
        <v>24</v>
      </c>
      <c r="B18" s="19"/>
      <c r="C18" s="14"/>
      <c r="D18" s="14"/>
      <c r="E18" s="22">
        <v>1500</v>
      </c>
      <c r="F18" s="11">
        <f t="shared" si="4"/>
        <v>1500</v>
      </c>
      <c r="G18" s="21">
        <v>1500</v>
      </c>
      <c r="H18" s="21"/>
      <c r="I18" s="21"/>
      <c r="J18" s="25">
        <f t="shared" si="1"/>
        <v>2060</v>
      </c>
      <c r="K18" s="21">
        <v>2060</v>
      </c>
      <c r="L18" s="21"/>
      <c r="M18" s="21"/>
      <c r="N18" s="6">
        <f t="shared" si="2"/>
        <v>137.33333333333334</v>
      </c>
      <c r="O18" s="16"/>
      <c r="P18" s="23">
        <v>357.4</v>
      </c>
      <c r="Q18" s="8">
        <f t="shared" si="3"/>
        <v>576.3850027979854</v>
      </c>
    </row>
    <row r="19" spans="1:17" ht="13.5" customHeight="1">
      <c r="A19" s="18" t="s">
        <v>25</v>
      </c>
      <c r="B19" s="19"/>
      <c r="C19" s="14"/>
      <c r="D19" s="14"/>
      <c r="E19" s="22">
        <v>176</v>
      </c>
      <c r="F19" s="11">
        <f t="shared" si="4"/>
        <v>176</v>
      </c>
      <c r="G19" s="21">
        <v>100</v>
      </c>
      <c r="H19" s="21">
        <v>76</v>
      </c>
      <c r="I19" s="21"/>
      <c r="J19" s="25">
        <f t="shared" si="1"/>
        <v>83</v>
      </c>
      <c r="K19" s="21"/>
      <c r="L19" s="21">
        <v>83</v>
      </c>
      <c r="M19" s="21"/>
      <c r="N19" s="6">
        <f t="shared" si="2"/>
        <v>0</v>
      </c>
      <c r="O19" s="16"/>
      <c r="P19" s="23">
        <v>69</v>
      </c>
      <c r="Q19" s="8">
        <f t="shared" si="3"/>
        <v>0</v>
      </c>
    </row>
    <row r="20" spans="1:17" ht="12.75" customHeight="1">
      <c r="A20" s="18" t="s">
        <v>26</v>
      </c>
      <c r="B20" s="19"/>
      <c r="C20" s="14"/>
      <c r="D20" s="14"/>
      <c r="E20" s="23">
        <v>2024.76</v>
      </c>
      <c r="F20" s="11">
        <f t="shared" si="4"/>
        <v>2034.8</v>
      </c>
      <c r="G20" s="24"/>
      <c r="H20" s="24">
        <v>2034.8</v>
      </c>
      <c r="I20" s="24"/>
      <c r="J20" s="25">
        <f t="shared" si="1"/>
        <v>2389.7</v>
      </c>
      <c r="K20" s="24"/>
      <c r="L20" s="24">
        <f>390.9+1599.8+389+10</f>
        <v>2389.7</v>
      </c>
      <c r="M20" s="24"/>
      <c r="N20" s="6"/>
      <c r="O20" s="16"/>
      <c r="P20" s="23">
        <v>976.5</v>
      </c>
      <c r="Q20" s="8">
        <f t="shared" si="3"/>
        <v>0</v>
      </c>
    </row>
    <row r="21" spans="1:17" ht="12.75" customHeight="1">
      <c r="A21" s="18" t="s">
        <v>27</v>
      </c>
      <c r="B21" s="19"/>
      <c r="C21" s="14"/>
      <c r="D21" s="14"/>
      <c r="E21" s="24">
        <v>1871.8</v>
      </c>
      <c r="F21" s="11">
        <f t="shared" si="4"/>
        <v>0</v>
      </c>
      <c r="G21" s="24"/>
      <c r="H21" s="24"/>
      <c r="I21" s="24"/>
      <c r="J21" s="25">
        <f t="shared" si="1"/>
        <v>0</v>
      </c>
      <c r="K21" s="24"/>
      <c r="L21" s="24"/>
      <c r="M21" s="24"/>
      <c r="N21" s="6"/>
      <c r="O21" s="16"/>
      <c r="P21" s="23">
        <v>311.4</v>
      </c>
      <c r="Q21" s="8">
        <f t="shared" si="3"/>
        <v>0</v>
      </c>
    </row>
    <row r="22" spans="1:17" ht="12.75" customHeight="1">
      <c r="A22" s="18" t="s">
        <v>28</v>
      </c>
      <c r="B22" s="19"/>
      <c r="C22" s="14"/>
      <c r="D22" s="14"/>
      <c r="E22" s="23">
        <v>6218</v>
      </c>
      <c r="F22" s="11">
        <f t="shared" si="4"/>
        <v>6481.5</v>
      </c>
      <c r="G22" s="24"/>
      <c r="H22" s="24">
        <v>6481.5</v>
      </c>
      <c r="I22" s="24"/>
      <c r="J22" s="25">
        <f t="shared" si="1"/>
        <v>6652</v>
      </c>
      <c r="K22" s="24"/>
      <c r="L22" s="24">
        <v>6652</v>
      </c>
      <c r="M22" s="24"/>
      <c r="N22" s="6"/>
      <c r="O22" s="16"/>
      <c r="P22" s="23">
        <v>2079.9</v>
      </c>
      <c r="Q22" s="8">
        <f t="shared" si="3"/>
        <v>0</v>
      </c>
    </row>
    <row r="23" spans="1:17" ht="12" customHeight="1">
      <c r="A23" s="18" t="s">
        <v>29</v>
      </c>
      <c r="B23" s="19"/>
      <c r="C23" s="14"/>
      <c r="D23" s="14"/>
      <c r="E23" s="23">
        <v>1555</v>
      </c>
      <c r="F23" s="11">
        <f t="shared" si="4"/>
        <v>1250.8</v>
      </c>
      <c r="G23" s="24">
        <v>1250.8</v>
      </c>
      <c r="H23" s="24"/>
      <c r="I23" s="24"/>
      <c r="J23" s="25">
        <f t="shared" si="1"/>
        <v>0</v>
      </c>
      <c r="K23" s="24"/>
      <c r="L23" s="24"/>
      <c r="M23" s="24"/>
      <c r="N23" s="6">
        <f t="shared" si="2"/>
        <v>0</v>
      </c>
      <c r="O23" s="16"/>
      <c r="P23" s="23">
        <v>3897.1</v>
      </c>
      <c r="Q23" s="8">
        <f t="shared" si="3"/>
        <v>0</v>
      </c>
    </row>
    <row r="24" spans="1:17" ht="11.25" customHeight="1">
      <c r="A24" s="18" t="s">
        <v>30</v>
      </c>
      <c r="B24" s="19"/>
      <c r="C24" s="14"/>
      <c r="D24" s="14"/>
      <c r="E24" s="23"/>
      <c r="F24" s="11">
        <f t="shared" si="4"/>
        <v>0</v>
      </c>
      <c r="G24" s="24"/>
      <c r="H24" s="24"/>
      <c r="I24" s="24"/>
      <c r="J24" s="25">
        <f t="shared" si="1"/>
        <v>0</v>
      </c>
      <c r="K24" s="24"/>
      <c r="L24" s="24"/>
      <c r="M24" s="24"/>
      <c r="N24" s="6"/>
      <c r="O24" s="16"/>
      <c r="P24" s="23">
        <v>2166.8</v>
      </c>
      <c r="Q24" s="8">
        <f t="shared" si="3"/>
        <v>0</v>
      </c>
    </row>
    <row r="25" spans="1:17" ht="12.75" customHeight="1">
      <c r="A25" s="18" t="s">
        <v>31</v>
      </c>
      <c r="B25" s="19"/>
      <c r="C25" s="14"/>
      <c r="D25" s="14"/>
      <c r="E25" s="23">
        <v>5000</v>
      </c>
      <c r="F25" s="11">
        <f t="shared" si="4"/>
        <v>5000</v>
      </c>
      <c r="G25" s="24">
        <v>5000</v>
      </c>
      <c r="H25" s="24"/>
      <c r="I25" s="24"/>
      <c r="J25" s="25">
        <f t="shared" si="1"/>
        <v>9952</v>
      </c>
      <c r="K25" s="24">
        <v>9952</v>
      </c>
      <c r="L25" s="24"/>
      <c r="M25" s="24"/>
      <c r="N25" s="6">
        <f t="shared" si="2"/>
        <v>199.04</v>
      </c>
      <c r="O25" s="16"/>
      <c r="P25" s="23">
        <v>706.7</v>
      </c>
      <c r="Q25" s="8">
        <f t="shared" si="3"/>
        <v>1408.2354605914813</v>
      </c>
    </row>
    <row r="26" spans="1:17" ht="3" customHeight="1" hidden="1">
      <c r="A26" s="18" t="s">
        <v>32</v>
      </c>
      <c r="B26" s="19"/>
      <c r="C26" s="14"/>
      <c r="D26" s="14"/>
      <c r="E26" s="15"/>
      <c r="F26" s="11">
        <f t="shared" si="4"/>
        <v>0</v>
      </c>
      <c r="G26" s="15"/>
      <c r="H26" s="15"/>
      <c r="I26" s="15"/>
      <c r="J26" s="25">
        <f t="shared" si="1"/>
        <v>0</v>
      </c>
      <c r="K26" s="15"/>
      <c r="L26" s="15"/>
      <c r="M26" s="15"/>
      <c r="N26" s="6" t="e">
        <f t="shared" si="2"/>
        <v>#DIV/0!</v>
      </c>
      <c r="O26" s="16"/>
      <c r="P26" s="23"/>
      <c r="Q26" s="8" t="e">
        <f t="shared" si="3"/>
        <v>#DIV/0!</v>
      </c>
    </row>
    <row r="27" spans="1:17" ht="15" hidden="1">
      <c r="A27" s="18" t="s">
        <v>33</v>
      </c>
      <c r="B27" s="19"/>
      <c r="C27" s="14"/>
      <c r="D27" s="14"/>
      <c r="E27" s="15"/>
      <c r="F27" s="11">
        <f t="shared" si="4"/>
        <v>0</v>
      </c>
      <c r="G27" s="15"/>
      <c r="H27" s="15"/>
      <c r="I27" s="15"/>
      <c r="J27" s="25">
        <f t="shared" si="1"/>
        <v>0</v>
      </c>
      <c r="K27" s="15"/>
      <c r="L27" s="15"/>
      <c r="M27" s="15"/>
      <c r="N27" s="6" t="e">
        <f t="shared" si="2"/>
        <v>#DIV/0!</v>
      </c>
      <c r="O27" s="16"/>
      <c r="P27" s="23"/>
      <c r="Q27" s="8" t="e">
        <f t="shared" si="3"/>
        <v>#DIV/0!</v>
      </c>
    </row>
    <row r="28" spans="1:17" ht="23.25" customHeight="1">
      <c r="A28" s="3" t="s">
        <v>34</v>
      </c>
      <c r="B28" s="4" t="s">
        <v>35</v>
      </c>
      <c r="C28" s="5">
        <f>SUM(C30:C32)</f>
        <v>900</v>
      </c>
      <c r="D28" s="5">
        <f>SUM(D30:D32)</f>
        <v>0</v>
      </c>
      <c r="E28" s="5">
        <f>SUM(E29:E32)</f>
        <v>1508.2</v>
      </c>
      <c r="F28" s="5">
        <f>SUM(F29:F30)</f>
        <v>4115.6</v>
      </c>
      <c r="G28" s="5">
        <f>SUM(G29:G30)</f>
        <v>4115.6</v>
      </c>
      <c r="H28" s="5">
        <f>SUM(H29:H30)</f>
        <v>0</v>
      </c>
      <c r="I28" s="5">
        <f>SUM(I29:I30)</f>
        <v>0</v>
      </c>
      <c r="J28" s="54">
        <f>SUM(J29:J32)</f>
        <v>6752.7</v>
      </c>
      <c r="K28" s="5">
        <f>SUM(K29:K32)</f>
        <v>6752.7</v>
      </c>
      <c r="L28" s="5">
        <f>SUM(L29:L32)</f>
        <v>0</v>
      </c>
      <c r="M28" s="5">
        <f>SUM(M29:M32)</f>
        <v>0</v>
      </c>
      <c r="N28" s="6">
        <f t="shared" si="2"/>
        <v>164.07571192535715</v>
      </c>
      <c r="O28" s="7">
        <f>K28/K95*100</f>
        <v>0.423004022005455</v>
      </c>
      <c r="P28" s="50">
        <f>SUM(P29:P32)</f>
        <v>508.6</v>
      </c>
      <c r="Q28" s="8">
        <f t="shared" si="3"/>
        <v>1327.7034998033819</v>
      </c>
    </row>
    <row r="29" spans="1:17" ht="30">
      <c r="A29" s="26" t="s">
        <v>36</v>
      </c>
      <c r="B29" s="19" t="s">
        <v>37</v>
      </c>
      <c r="C29" s="5"/>
      <c r="D29" s="5"/>
      <c r="E29" s="14">
        <v>1000</v>
      </c>
      <c r="F29" s="11">
        <f t="shared" si="4"/>
        <v>2800</v>
      </c>
      <c r="G29" s="14">
        <f>1000+1800</f>
        <v>2800</v>
      </c>
      <c r="H29" s="14"/>
      <c r="I29" s="14"/>
      <c r="J29" s="25">
        <f t="shared" si="1"/>
        <v>4292</v>
      </c>
      <c r="K29" s="14">
        <v>4292</v>
      </c>
      <c r="L29" s="14"/>
      <c r="M29" s="14"/>
      <c r="N29" s="6">
        <f t="shared" si="2"/>
        <v>153.28571428571428</v>
      </c>
      <c r="O29" s="7"/>
      <c r="P29" s="23">
        <v>250</v>
      </c>
      <c r="Q29" s="8"/>
    </row>
    <row r="30" spans="1:17" ht="24" customHeight="1">
      <c r="A30" s="18" t="s">
        <v>38</v>
      </c>
      <c r="B30" s="19" t="s">
        <v>39</v>
      </c>
      <c r="C30" s="14">
        <v>900</v>
      </c>
      <c r="D30" s="14"/>
      <c r="E30" s="14">
        <v>508.2</v>
      </c>
      <c r="F30" s="11">
        <f t="shared" si="4"/>
        <v>1315.6</v>
      </c>
      <c r="G30" s="14">
        <v>1315.6</v>
      </c>
      <c r="H30" s="14"/>
      <c r="I30" s="14"/>
      <c r="J30" s="25">
        <f t="shared" si="1"/>
        <v>2460.7</v>
      </c>
      <c r="K30" s="14">
        <f>960.7+1500</f>
        <v>2460.7</v>
      </c>
      <c r="L30" s="14"/>
      <c r="M30" s="14"/>
      <c r="N30" s="6">
        <f t="shared" si="2"/>
        <v>187.0401337792642</v>
      </c>
      <c r="O30" s="16"/>
      <c r="P30" s="23">
        <v>258.6</v>
      </c>
      <c r="Q30" s="8">
        <f t="shared" si="3"/>
        <v>951.5467904098992</v>
      </c>
    </row>
    <row r="31" spans="1:17" ht="15" hidden="1">
      <c r="A31" s="18" t="s">
        <v>40</v>
      </c>
      <c r="B31" s="19" t="s">
        <v>41</v>
      </c>
      <c r="C31" s="14"/>
      <c r="D31" s="14"/>
      <c r="E31" s="14"/>
      <c r="F31" s="11">
        <f t="shared" si="4"/>
        <v>37.5</v>
      </c>
      <c r="G31" s="14">
        <v>12.5</v>
      </c>
      <c r="H31" s="14">
        <v>12.5</v>
      </c>
      <c r="I31" s="14">
        <v>12.5</v>
      </c>
      <c r="J31" s="25">
        <f t="shared" si="1"/>
        <v>0</v>
      </c>
      <c r="K31" s="14"/>
      <c r="L31" s="14"/>
      <c r="M31" s="14"/>
      <c r="N31" s="6">
        <f t="shared" si="2"/>
        <v>0</v>
      </c>
      <c r="O31" s="16"/>
      <c r="P31" s="23"/>
      <c r="Q31" s="8" t="e">
        <f t="shared" si="3"/>
        <v>#DIV/0!</v>
      </c>
    </row>
    <row r="32" spans="1:17" ht="23.25" customHeight="1" hidden="1">
      <c r="A32" s="18" t="s">
        <v>42</v>
      </c>
      <c r="B32" s="19" t="s">
        <v>43</v>
      </c>
      <c r="C32" s="14">
        <v>0</v>
      </c>
      <c r="D32" s="14"/>
      <c r="E32" s="14">
        <v>0</v>
      </c>
      <c r="F32" s="11">
        <f t="shared" si="4"/>
        <v>1500</v>
      </c>
      <c r="G32" s="14">
        <v>500</v>
      </c>
      <c r="H32" s="14">
        <v>500</v>
      </c>
      <c r="I32" s="14">
        <v>500</v>
      </c>
      <c r="J32" s="25">
        <f t="shared" si="1"/>
        <v>0</v>
      </c>
      <c r="K32" s="14"/>
      <c r="L32" s="14"/>
      <c r="M32" s="14"/>
      <c r="N32" s="6">
        <f t="shared" si="2"/>
        <v>0</v>
      </c>
      <c r="O32" s="16"/>
      <c r="P32" s="23"/>
      <c r="Q32" s="8" t="e">
        <f t="shared" si="3"/>
        <v>#DIV/0!</v>
      </c>
    </row>
    <row r="33" spans="1:17" ht="15" customHeight="1">
      <c r="A33" s="3" t="s">
        <v>44</v>
      </c>
      <c r="B33" s="4" t="s">
        <v>45</v>
      </c>
      <c r="C33" s="5">
        <f>SUM(C34:C41)</f>
        <v>11479</v>
      </c>
      <c r="D33" s="5">
        <f>SUM(D34:D41)</f>
        <v>0</v>
      </c>
      <c r="E33" s="5">
        <f>E34+E35+E36+E37+E39+E41</f>
        <v>11750</v>
      </c>
      <c r="F33" s="5">
        <f>F34+F35+F36+F37+F39+F41</f>
        <v>39112.2</v>
      </c>
      <c r="G33" s="5">
        <f>G34+G35+G36+G37+G39+G41</f>
        <v>16949.5</v>
      </c>
      <c r="H33" s="5">
        <f>H34+H35+H36+H37+H39+H41</f>
        <v>22162.7</v>
      </c>
      <c r="I33" s="5">
        <f>I34+I35+I36+I37+I39+I41</f>
        <v>0</v>
      </c>
      <c r="J33" s="54">
        <f>J34+J35+J36+J37+J39+J41+J38</f>
        <v>36356.9</v>
      </c>
      <c r="K33" s="5">
        <f>K34+K35+K36+K37+K39+K41+K38</f>
        <v>36356.9</v>
      </c>
      <c r="L33" s="5">
        <f>L34+L35+L36+L37+L39+L41+L38</f>
        <v>0</v>
      </c>
      <c r="M33" s="5">
        <f>M34+M35+M36+M37+M39+M41+M38</f>
        <v>0</v>
      </c>
      <c r="N33" s="6">
        <f t="shared" si="2"/>
        <v>214.50131272308917</v>
      </c>
      <c r="O33" s="7">
        <f>K33/K95*100</f>
        <v>2.2774764061264574</v>
      </c>
      <c r="P33" s="50">
        <f>P34+P35+P36+P37+P39+P41</f>
        <v>19079.000000000004</v>
      </c>
      <c r="Q33" s="8">
        <f t="shared" si="3"/>
        <v>190.55977776613025</v>
      </c>
    </row>
    <row r="34" spans="1:17" ht="12" customHeight="1">
      <c r="A34" s="18" t="s">
        <v>148</v>
      </c>
      <c r="B34" s="19" t="s">
        <v>46</v>
      </c>
      <c r="C34" s="14">
        <v>2820</v>
      </c>
      <c r="D34" s="14"/>
      <c r="E34" s="14"/>
      <c r="F34" s="11">
        <f t="shared" si="4"/>
        <v>138</v>
      </c>
      <c r="G34" s="14">
        <v>138</v>
      </c>
      <c r="H34" s="14"/>
      <c r="I34" s="14"/>
      <c r="J34" s="25">
        <f t="shared" si="1"/>
        <v>0</v>
      </c>
      <c r="K34" s="14"/>
      <c r="L34" s="14"/>
      <c r="M34" s="14"/>
      <c r="N34" s="6">
        <f t="shared" si="2"/>
        <v>0</v>
      </c>
      <c r="O34" s="16"/>
      <c r="P34" s="23">
        <v>1880.3</v>
      </c>
      <c r="Q34" s="8">
        <f t="shared" si="3"/>
        <v>0</v>
      </c>
    </row>
    <row r="35" spans="1:17" ht="30">
      <c r="A35" s="18" t="s">
        <v>47</v>
      </c>
      <c r="B35" s="19" t="s">
        <v>48</v>
      </c>
      <c r="C35" s="14">
        <v>1500</v>
      </c>
      <c r="D35" s="14"/>
      <c r="E35" s="14">
        <v>1590</v>
      </c>
      <c r="F35" s="11">
        <f t="shared" si="4"/>
        <v>1590</v>
      </c>
      <c r="G35" s="14">
        <v>1590</v>
      </c>
      <c r="H35" s="14"/>
      <c r="I35" s="14"/>
      <c r="J35" s="25">
        <f t="shared" si="1"/>
        <v>1800</v>
      </c>
      <c r="K35" s="14">
        <f>1800</f>
        <v>1800</v>
      </c>
      <c r="L35" s="14"/>
      <c r="M35" s="14"/>
      <c r="N35" s="6">
        <f t="shared" si="2"/>
        <v>113.20754716981132</v>
      </c>
      <c r="O35" s="16"/>
      <c r="P35" s="23">
        <v>464</v>
      </c>
      <c r="Q35" s="8"/>
    </row>
    <row r="36" spans="1:17" ht="12" customHeight="1">
      <c r="A36" s="18" t="s">
        <v>49</v>
      </c>
      <c r="B36" s="19" t="s">
        <v>50</v>
      </c>
      <c r="C36" s="14">
        <v>3759</v>
      </c>
      <c r="D36" s="14"/>
      <c r="E36" s="14">
        <v>5260</v>
      </c>
      <c r="F36" s="11">
        <f t="shared" si="4"/>
        <v>6321.5</v>
      </c>
      <c r="G36" s="23">
        <f>5375.5+946</f>
        <v>6321.5</v>
      </c>
      <c r="H36" s="23"/>
      <c r="I36" s="23"/>
      <c r="J36" s="25">
        <f t="shared" si="1"/>
        <v>8120.4</v>
      </c>
      <c r="K36" s="24">
        <v>8120.4</v>
      </c>
      <c r="L36" s="24"/>
      <c r="M36" s="24"/>
      <c r="N36" s="6">
        <f t="shared" si="2"/>
        <v>128.45685359487462</v>
      </c>
      <c r="O36" s="16"/>
      <c r="P36" s="23">
        <v>2405.8</v>
      </c>
      <c r="Q36" s="8">
        <f t="shared" si="3"/>
        <v>337.5342921273588</v>
      </c>
    </row>
    <row r="37" spans="1:17" ht="14.25" customHeight="1">
      <c r="A37" s="18" t="s">
        <v>51</v>
      </c>
      <c r="B37" s="19" t="s">
        <v>50</v>
      </c>
      <c r="C37" s="14"/>
      <c r="D37" s="14"/>
      <c r="E37" s="14"/>
      <c r="F37" s="11">
        <f t="shared" si="4"/>
        <v>22162.7</v>
      </c>
      <c r="G37" s="23"/>
      <c r="H37" s="23">
        <f>17564.9+4597.8</f>
        <v>22162.7</v>
      </c>
      <c r="I37" s="23"/>
      <c r="J37" s="25">
        <f t="shared" si="1"/>
        <v>0</v>
      </c>
      <c r="K37" s="24"/>
      <c r="L37" s="24"/>
      <c r="M37" s="24"/>
      <c r="N37" s="6"/>
      <c r="O37" s="16"/>
      <c r="P37" s="23">
        <v>13108.7</v>
      </c>
      <c r="Q37" s="8">
        <f t="shared" si="3"/>
        <v>0</v>
      </c>
    </row>
    <row r="38" spans="1:17" ht="15">
      <c r="A38" s="18" t="s">
        <v>156</v>
      </c>
      <c r="B38" s="19"/>
      <c r="C38" s="14"/>
      <c r="D38" s="14"/>
      <c r="E38" s="14"/>
      <c r="F38" s="11">
        <f t="shared" si="4"/>
        <v>0</v>
      </c>
      <c r="G38" s="23"/>
      <c r="H38" s="23"/>
      <c r="I38" s="23"/>
      <c r="J38" s="25">
        <f t="shared" si="1"/>
        <v>1818</v>
      </c>
      <c r="K38" s="24">
        <v>1818</v>
      </c>
      <c r="L38" s="24"/>
      <c r="M38" s="24"/>
      <c r="N38" s="6"/>
      <c r="O38" s="16"/>
      <c r="P38" s="23"/>
      <c r="Q38" s="8"/>
    </row>
    <row r="39" spans="1:17" ht="12.75" customHeight="1">
      <c r="A39" s="57" t="s">
        <v>52</v>
      </c>
      <c r="B39" s="58" t="s">
        <v>122</v>
      </c>
      <c r="C39" s="14">
        <v>1500</v>
      </c>
      <c r="D39" s="14"/>
      <c r="E39" s="14">
        <v>1000</v>
      </c>
      <c r="F39" s="11">
        <f t="shared" si="4"/>
        <v>1000</v>
      </c>
      <c r="G39" s="23">
        <v>1000</v>
      </c>
      <c r="H39" s="23"/>
      <c r="I39" s="23"/>
      <c r="J39" s="25">
        <f t="shared" si="1"/>
        <v>3518.5</v>
      </c>
      <c r="K39" s="14">
        <v>3518.5</v>
      </c>
      <c r="L39" s="14"/>
      <c r="M39" s="14"/>
      <c r="N39" s="6">
        <f t="shared" si="2"/>
        <v>351.85</v>
      </c>
      <c r="O39" s="16"/>
      <c r="P39" s="23">
        <v>590.2</v>
      </c>
      <c r="Q39" s="8">
        <f t="shared" si="3"/>
        <v>596.1538461538461</v>
      </c>
    </row>
    <row r="40" spans="1:17" ht="16.5" customHeight="1" hidden="1">
      <c r="A40" s="18" t="s">
        <v>54</v>
      </c>
      <c r="B40" s="19" t="s">
        <v>53</v>
      </c>
      <c r="C40" s="14"/>
      <c r="D40" s="14"/>
      <c r="E40" s="14">
        <v>1000</v>
      </c>
      <c r="F40" s="11">
        <f t="shared" si="4"/>
        <v>3000</v>
      </c>
      <c r="G40" s="23">
        <v>1000</v>
      </c>
      <c r="H40" s="23">
        <v>1000</v>
      </c>
      <c r="I40" s="23">
        <v>1000</v>
      </c>
      <c r="J40" s="25">
        <f t="shared" si="1"/>
        <v>750</v>
      </c>
      <c r="K40" s="14">
        <v>250</v>
      </c>
      <c r="L40" s="14">
        <v>250</v>
      </c>
      <c r="M40" s="14">
        <v>250</v>
      </c>
      <c r="N40" s="6">
        <f t="shared" si="2"/>
        <v>25</v>
      </c>
      <c r="O40" s="16"/>
      <c r="P40" s="23">
        <v>155.6</v>
      </c>
      <c r="Q40" s="8">
        <f t="shared" si="3"/>
        <v>160.66838046272494</v>
      </c>
    </row>
    <row r="41" spans="1:17" ht="14.25" customHeight="1">
      <c r="A41" s="57" t="s">
        <v>150</v>
      </c>
      <c r="B41" s="58" t="s">
        <v>123</v>
      </c>
      <c r="C41" s="14">
        <v>1900</v>
      </c>
      <c r="D41" s="14"/>
      <c r="E41" s="14">
        <f>SUM(E42:E43)</f>
        <v>3900</v>
      </c>
      <c r="F41" s="11">
        <f t="shared" si="4"/>
        <v>7900</v>
      </c>
      <c r="G41" s="23">
        <f>SUM(G42:G43)</f>
        <v>7900</v>
      </c>
      <c r="H41" s="23">
        <f>SUM(H42:H43)</f>
        <v>0</v>
      </c>
      <c r="I41" s="23">
        <f>SUM(I42:I43)</f>
        <v>0</v>
      </c>
      <c r="J41" s="25">
        <f t="shared" si="1"/>
        <v>21100</v>
      </c>
      <c r="K41" s="14">
        <f>SUM(K42:K43)</f>
        <v>21100</v>
      </c>
      <c r="L41" s="14">
        <f>SUM(L42:L43)</f>
        <v>0</v>
      </c>
      <c r="M41" s="14">
        <f>SUM(M42:M43)</f>
        <v>0</v>
      </c>
      <c r="N41" s="6">
        <f t="shared" si="2"/>
        <v>267.0886075949367</v>
      </c>
      <c r="O41" s="16"/>
      <c r="P41" s="23">
        <v>630</v>
      </c>
      <c r="Q41" s="8">
        <f t="shared" si="3"/>
        <v>3349.2063492063494</v>
      </c>
    </row>
    <row r="42" spans="1:17" ht="15">
      <c r="A42" s="18" t="s">
        <v>55</v>
      </c>
      <c r="B42" s="19"/>
      <c r="C42" s="14"/>
      <c r="D42" s="14"/>
      <c r="E42" s="14">
        <v>900</v>
      </c>
      <c r="F42" s="11">
        <f t="shared" si="4"/>
        <v>900</v>
      </c>
      <c r="G42" s="23">
        <v>900</v>
      </c>
      <c r="H42" s="23"/>
      <c r="I42" s="23"/>
      <c r="J42" s="25">
        <f t="shared" si="1"/>
        <v>900</v>
      </c>
      <c r="K42" s="24">
        <v>900</v>
      </c>
      <c r="L42" s="24"/>
      <c r="M42" s="24"/>
      <c r="N42" s="6">
        <f t="shared" si="2"/>
        <v>100</v>
      </c>
      <c r="O42" s="16"/>
      <c r="P42" s="23">
        <v>630</v>
      </c>
      <c r="Q42" s="8">
        <f t="shared" si="3"/>
        <v>142.85714285714286</v>
      </c>
    </row>
    <row r="43" spans="1:17" ht="12.75" customHeight="1">
      <c r="A43" s="18" t="s">
        <v>56</v>
      </c>
      <c r="B43" s="19"/>
      <c r="C43" s="14"/>
      <c r="D43" s="14"/>
      <c r="E43" s="14">
        <v>3000</v>
      </c>
      <c r="F43" s="11">
        <f t="shared" si="4"/>
        <v>7000</v>
      </c>
      <c r="G43" s="23">
        <f>9000-2000</f>
        <v>7000</v>
      </c>
      <c r="H43" s="23"/>
      <c r="I43" s="23"/>
      <c r="J43" s="25">
        <f t="shared" si="1"/>
        <v>20200</v>
      </c>
      <c r="K43" s="24">
        <v>20200</v>
      </c>
      <c r="L43" s="24"/>
      <c r="M43" s="24"/>
      <c r="N43" s="6">
        <f t="shared" si="2"/>
        <v>288.57142857142856</v>
      </c>
      <c r="O43" s="16"/>
      <c r="P43" s="23"/>
      <c r="Q43" s="8"/>
    </row>
    <row r="44" spans="1:17" ht="13.5" customHeight="1">
      <c r="A44" s="3" t="s">
        <v>57</v>
      </c>
      <c r="B44" s="4" t="s">
        <v>58</v>
      </c>
      <c r="C44" s="5">
        <f>SUM(C45:C48)</f>
        <v>59545</v>
      </c>
      <c r="D44" s="5">
        <f>SUM(D45:D48)</f>
        <v>0</v>
      </c>
      <c r="E44" s="5">
        <f>SUM(E45:E48)</f>
        <v>187764.2</v>
      </c>
      <c r="F44" s="5">
        <f>SUM(F45:F48)</f>
        <v>124746.4</v>
      </c>
      <c r="G44" s="5">
        <f>SUM(G45:G48)</f>
        <v>91446.4</v>
      </c>
      <c r="H44" s="5">
        <f aca="true" t="shared" si="5" ref="H44:M44">SUM(H45:H48)</f>
        <v>33300</v>
      </c>
      <c r="I44" s="5">
        <f t="shared" si="5"/>
        <v>0</v>
      </c>
      <c r="J44" s="54">
        <f t="shared" si="5"/>
        <v>246070.59999999998</v>
      </c>
      <c r="K44" s="5">
        <f t="shared" si="5"/>
        <v>276964.6</v>
      </c>
      <c r="L44" s="5">
        <f t="shared" si="5"/>
        <v>6466</v>
      </c>
      <c r="M44" s="5">
        <f t="shared" si="5"/>
        <v>0</v>
      </c>
      <c r="N44" s="6">
        <f t="shared" si="2"/>
        <v>302.87097141057495</v>
      </c>
      <c r="O44" s="7">
        <f>K44/K95*100</f>
        <v>17.349673427389348</v>
      </c>
      <c r="P44" s="50">
        <f>SUM(P45:P48)</f>
        <v>123998.7</v>
      </c>
      <c r="Q44" s="8">
        <f t="shared" si="3"/>
        <v>223.36089007384751</v>
      </c>
    </row>
    <row r="45" spans="1:17" ht="30">
      <c r="A45" s="18" t="s">
        <v>59</v>
      </c>
      <c r="B45" s="19" t="s">
        <v>60</v>
      </c>
      <c r="C45" s="14">
        <v>0</v>
      </c>
      <c r="D45" s="14"/>
      <c r="E45" s="14">
        <v>2500</v>
      </c>
      <c r="F45" s="11">
        <f t="shared" si="4"/>
        <v>8584.099999999999</v>
      </c>
      <c r="G45" s="14">
        <f>32888.5-19806.2-4498.2</f>
        <v>8584.099999999999</v>
      </c>
      <c r="H45" s="14"/>
      <c r="I45" s="14"/>
      <c r="J45" s="25">
        <f t="shared" si="1"/>
        <v>6466</v>
      </c>
      <c r="K45" s="14"/>
      <c r="L45" s="14">
        <v>6466</v>
      </c>
      <c r="M45" s="14"/>
      <c r="N45" s="6">
        <f t="shared" si="2"/>
        <v>0</v>
      </c>
      <c r="O45" s="16"/>
      <c r="P45" s="23">
        <v>6400</v>
      </c>
      <c r="Q45" s="8"/>
    </row>
    <row r="46" spans="1:17" ht="30">
      <c r="A46" s="18" t="s">
        <v>61</v>
      </c>
      <c r="B46" s="19" t="s">
        <v>62</v>
      </c>
      <c r="C46" s="14">
        <v>53545</v>
      </c>
      <c r="D46" s="14">
        <v>-5700</v>
      </c>
      <c r="E46" s="14">
        <v>127031.4</v>
      </c>
      <c r="F46" s="11">
        <f t="shared" si="4"/>
        <v>8995.800000000003</v>
      </c>
      <c r="G46" s="14">
        <f>100242.1-95206.8+2960.5</f>
        <v>7995.800000000003</v>
      </c>
      <c r="H46" s="14">
        <v>1000</v>
      </c>
      <c r="I46" s="14"/>
      <c r="J46" s="25">
        <f t="shared" si="1"/>
        <v>1300.3</v>
      </c>
      <c r="K46" s="14">
        <f>854.5+445.8</f>
        <v>1300.3</v>
      </c>
      <c r="L46" s="14"/>
      <c r="M46" s="14"/>
      <c r="N46" s="6">
        <f t="shared" si="2"/>
        <v>16.26228770104304</v>
      </c>
      <c r="O46" s="16"/>
      <c r="P46" s="23">
        <v>103230.5</v>
      </c>
      <c r="Q46" s="8">
        <f t="shared" si="3"/>
        <v>1.2596083521827368</v>
      </c>
    </row>
    <row r="47" spans="1:17" ht="30">
      <c r="A47" s="57" t="s">
        <v>124</v>
      </c>
      <c r="B47" s="58" t="s">
        <v>125</v>
      </c>
      <c r="C47" s="14"/>
      <c r="D47" s="14"/>
      <c r="E47" s="14"/>
      <c r="F47" s="11">
        <f t="shared" si="4"/>
        <v>0</v>
      </c>
      <c r="G47" s="14"/>
      <c r="H47" s="14"/>
      <c r="I47" s="14"/>
      <c r="J47" s="25"/>
      <c r="K47" s="14">
        <v>37360</v>
      </c>
      <c r="L47" s="14"/>
      <c r="M47" s="14"/>
      <c r="N47" s="6"/>
      <c r="O47" s="16"/>
      <c r="P47" s="23"/>
      <c r="Q47" s="8"/>
    </row>
    <row r="48" spans="1:17" ht="14.25" customHeight="1">
      <c r="A48" s="57" t="s">
        <v>63</v>
      </c>
      <c r="B48" s="58" t="s">
        <v>126</v>
      </c>
      <c r="C48" s="14">
        <v>6000</v>
      </c>
      <c r="D48" s="14">
        <v>5700</v>
      </c>
      <c r="E48" s="14">
        <f>SUM(E49:E52)</f>
        <v>58232.8</v>
      </c>
      <c r="F48" s="11">
        <f t="shared" si="4"/>
        <v>107166.5</v>
      </c>
      <c r="G48" s="14">
        <f>SUM(G49:G52)</f>
        <v>74866.5</v>
      </c>
      <c r="H48" s="14">
        <f>SUM(H49:H52)</f>
        <v>32300</v>
      </c>
      <c r="I48" s="14">
        <f>SUM(I49:I52)</f>
        <v>0</v>
      </c>
      <c r="J48" s="25">
        <f t="shared" si="1"/>
        <v>238304.3</v>
      </c>
      <c r="K48" s="14">
        <f>SUM(K49:K52)</f>
        <v>238304.3</v>
      </c>
      <c r="L48" s="14">
        <f>SUM(L49:L52)</f>
        <v>0</v>
      </c>
      <c r="M48" s="14">
        <f>SUM(M49:M52)</f>
        <v>0</v>
      </c>
      <c r="N48" s="6">
        <f t="shared" si="2"/>
        <v>318.3056507249571</v>
      </c>
      <c r="O48" s="16"/>
      <c r="P48" s="23">
        <f>SUM(P49:P52)</f>
        <v>14368.2</v>
      </c>
      <c r="Q48" s="8">
        <f t="shared" si="3"/>
        <v>1658.553611447502</v>
      </c>
    </row>
    <row r="49" spans="1:17" ht="12.75" customHeight="1">
      <c r="A49" s="18" t="s">
        <v>64</v>
      </c>
      <c r="B49" s="19"/>
      <c r="C49" s="14"/>
      <c r="D49" s="14"/>
      <c r="E49" s="14">
        <v>45600</v>
      </c>
      <c r="F49" s="11">
        <f t="shared" si="4"/>
        <v>62143.5</v>
      </c>
      <c r="G49" s="65">
        <f>64227-2590+506.5</f>
        <v>62143.5</v>
      </c>
      <c r="H49" s="23"/>
      <c r="I49" s="23"/>
      <c r="J49" s="25">
        <f t="shared" si="1"/>
        <v>224152.9</v>
      </c>
      <c r="K49" s="24">
        <v>224152.9</v>
      </c>
      <c r="L49" s="24"/>
      <c r="M49" s="24"/>
      <c r="N49" s="6">
        <f t="shared" si="2"/>
        <v>360.7020846910779</v>
      </c>
      <c r="O49" s="16"/>
      <c r="P49" s="23">
        <v>3635.7</v>
      </c>
      <c r="Q49" s="8">
        <f t="shared" si="3"/>
        <v>6165.329922710895</v>
      </c>
    </row>
    <row r="50" spans="1:17" ht="10.5" customHeight="1">
      <c r="A50" s="18" t="s">
        <v>163</v>
      </c>
      <c r="B50" s="19"/>
      <c r="C50" s="14"/>
      <c r="D50" s="14"/>
      <c r="E50" s="14"/>
      <c r="F50" s="11">
        <f t="shared" si="4"/>
        <v>1033</v>
      </c>
      <c r="G50" s="23">
        <v>1033</v>
      </c>
      <c r="H50" s="23"/>
      <c r="I50" s="23"/>
      <c r="J50" s="25">
        <f t="shared" si="1"/>
        <v>0</v>
      </c>
      <c r="K50" s="23"/>
      <c r="L50" s="23"/>
      <c r="M50" s="23"/>
      <c r="N50" s="6">
        <f t="shared" si="2"/>
        <v>0</v>
      </c>
      <c r="O50" s="16"/>
      <c r="P50" s="23"/>
      <c r="Q50" s="8" t="e">
        <f t="shared" si="3"/>
        <v>#DIV/0!</v>
      </c>
    </row>
    <row r="51" spans="1:17" ht="11.25" customHeight="1">
      <c r="A51" s="18" t="s">
        <v>149</v>
      </c>
      <c r="B51" s="19"/>
      <c r="C51" s="14"/>
      <c r="D51" s="14"/>
      <c r="E51" s="14"/>
      <c r="F51" s="11">
        <f t="shared" si="4"/>
        <v>32300</v>
      </c>
      <c r="G51" s="24"/>
      <c r="H51" s="24">
        <v>32300</v>
      </c>
      <c r="I51" s="24"/>
      <c r="J51" s="25">
        <f t="shared" si="1"/>
        <v>0</v>
      </c>
      <c r="K51" s="24"/>
      <c r="L51" s="24"/>
      <c r="M51" s="24"/>
      <c r="N51" s="6"/>
      <c r="O51" s="16"/>
      <c r="P51" s="23">
        <v>4052.8</v>
      </c>
      <c r="Q51" s="8"/>
    </row>
    <row r="52" spans="1:17" ht="13.5" customHeight="1">
      <c r="A52" s="18" t="s">
        <v>65</v>
      </c>
      <c r="B52" s="19"/>
      <c r="C52" s="14"/>
      <c r="D52" s="14"/>
      <c r="E52" s="14">
        <v>12632.8</v>
      </c>
      <c r="F52" s="11">
        <f t="shared" si="4"/>
        <v>11690</v>
      </c>
      <c r="G52" s="24">
        <v>11690</v>
      </c>
      <c r="H52" s="24"/>
      <c r="I52" s="24"/>
      <c r="J52" s="25">
        <f t="shared" si="1"/>
        <v>14151.4</v>
      </c>
      <c r="K52" s="24">
        <v>14151.4</v>
      </c>
      <c r="L52" s="24"/>
      <c r="M52" s="24"/>
      <c r="N52" s="6">
        <f t="shared" si="2"/>
        <v>121.05560307955517</v>
      </c>
      <c r="O52" s="16"/>
      <c r="P52" s="23">
        <v>6679.7</v>
      </c>
      <c r="Q52" s="8">
        <f t="shared" si="3"/>
        <v>211.85681991706215</v>
      </c>
    </row>
    <row r="53" spans="1:17" ht="15.75" customHeight="1">
      <c r="A53" s="3" t="s">
        <v>66</v>
      </c>
      <c r="B53" s="4" t="s">
        <v>67</v>
      </c>
      <c r="C53" s="14"/>
      <c r="D53" s="14"/>
      <c r="E53" s="5">
        <f aca="true" t="shared" si="6" ref="E53:M53">E55</f>
        <v>491.8</v>
      </c>
      <c r="F53" s="5">
        <f t="shared" si="6"/>
        <v>130</v>
      </c>
      <c r="G53" s="5">
        <f t="shared" si="6"/>
        <v>130</v>
      </c>
      <c r="H53" s="5">
        <f t="shared" si="6"/>
        <v>0</v>
      </c>
      <c r="I53" s="5">
        <f t="shared" si="6"/>
        <v>0</v>
      </c>
      <c r="J53" s="54">
        <f t="shared" si="6"/>
        <v>930</v>
      </c>
      <c r="K53" s="5">
        <f t="shared" si="6"/>
        <v>930</v>
      </c>
      <c r="L53" s="5">
        <f t="shared" si="6"/>
        <v>0</v>
      </c>
      <c r="M53" s="5">
        <f t="shared" si="6"/>
        <v>0</v>
      </c>
      <c r="N53" s="6">
        <f t="shared" si="2"/>
        <v>715.3846153846155</v>
      </c>
      <c r="O53" s="16"/>
      <c r="P53" s="50">
        <f>P55</f>
        <v>0</v>
      </c>
      <c r="Q53" s="8"/>
    </row>
    <row r="54" spans="1:17" ht="15.75" customHeight="1">
      <c r="A54" s="57" t="s">
        <v>127</v>
      </c>
      <c r="B54" s="58" t="s">
        <v>128</v>
      </c>
      <c r="C54" s="14"/>
      <c r="D54" s="14"/>
      <c r="E54" s="5"/>
      <c r="F54" s="11">
        <f t="shared" si="4"/>
        <v>0</v>
      </c>
      <c r="G54" s="5"/>
      <c r="H54" s="5"/>
      <c r="I54" s="5"/>
      <c r="J54" s="54"/>
      <c r="K54" s="5"/>
      <c r="L54" s="5"/>
      <c r="M54" s="5"/>
      <c r="N54" s="6"/>
      <c r="O54" s="16"/>
      <c r="P54" s="50"/>
      <c r="Q54" s="8"/>
    </row>
    <row r="55" spans="1:17" ht="12.75" customHeight="1">
      <c r="A55" s="57" t="s">
        <v>114</v>
      </c>
      <c r="B55" s="58" t="s">
        <v>68</v>
      </c>
      <c r="C55" s="14"/>
      <c r="D55" s="14"/>
      <c r="E55" s="14">
        <v>491.8</v>
      </c>
      <c r="F55" s="11">
        <f t="shared" si="4"/>
        <v>130</v>
      </c>
      <c r="G55" s="23">
        <v>130</v>
      </c>
      <c r="H55" s="23"/>
      <c r="I55" s="23"/>
      <c r="J55" s="25">
        <f t="shared" si="1"/>
        <v>930</v>
      </c>
      <c r="K55" s="23">
        <v>930</v>
      </c>
      <c r="L55" s="23"/>
      <c r="M55" s="23"/>
      <c r="N55" s="6">
        <f t="shared" si="2"/>
        <v>715.3846153846155</v>
      </c>
      <c r="O55" s="16"/>
      <c r="P55" s="23"/>
      <c r="Q55" s="8"/>
    </row>
    <row r="56" spans="1:17" ht="14.25" customHeight="1">
      <c r="A56" s="3" t="s">
        <v>69</v>
      </c>
      <c r="B56" s="4" t="s">
        <v>70</v>
      </c>
      <c r="C56" s="5">
        <f>SUM(C57:C62)</f>
        <v>868060</v>
      </c>
      <c r="D56" s="5">
        <f>SUM(D57:D62)</f>
        <v>0</v>
      </c>
      <c r="E56" s="5">
        <f>SUM(E57:E62)</f>
        <v>972144.5</v>
      </c>
      <c r="F56" s="5">
        <f>SUM(F57:F62)</f>
        <v>997495.8</v>
      </c>
      <c r="G56" s="5">
        <f>SUM(G57:G62)</f>
        <v>534443.1</v>
      </c>
      <c r="H56" s="5">
        <f aca="true" t="shared" si="7" ref="H56:M56">SUM(H57:H62)</f>
        <v>391088.5</v>
      </c>
      <c r="I56" s="5">
        <f t="shared" si="7"/>
        <v>71964.2</v>
      </c>
      <c r="J56" s="54">
        <f t="shared" si="7"/>
        <v>1351095.6</v>
      </c>
      <c r="K56" s="5">
        <f>SUM(K57:K62)</f>
        <v>798717.9</v>
      </c>
      <c r="L56" s="5">
        <f t="shared" si="7"/>
        <v>484038.6</v>
      </c>
      <c r="M56" s="5">
        <f t="shared" si="7"/>
        <v>68339.09999999999</v>
      </c>
      <c r="N56" s="6">
        <f t="shared" si="2"/>
        <v>149.44863166911503</v>
      </c>
      <c r="O56" s="7">
        <f>K56/K95*100</f>
        <v>50.03345093781019</v>
      </c>
      <c r="P56" s="50">
        <f>SUM(P57:P62)</f>
        <v>556729.4</v>
      </c>
      <c r="Q56" s="8">
        <f t="shared" si="3"/>
        <v>143.4660896298992</v>
      </c>
    </row>
    <row r="57" spans="1:17" ht="30">
      <c r="A57" s="18" t="s">
        <v>71</v>
      </c>
      <c r="B57" s="19" t="s">
        <v>72</v>
      </c>
      <c r="C57" s="14">
        <v>273586</v>
      </c>
      <c r="D57" s="14"/>
      <c r="E57" s="14">
        <v>297228</v>
      </c>
      <c r="F57" s="11">
        <f t="shared" si="4"/>
        <v>307666.6</v>
      </c>
      <c r="G57" s="14">
        <f>266621.4+3925.8</f>
        <v>270547.2</v>
      </c>
      <c r="H57" s="14">
        <f>148+151.1</f>
        <v>299.1</v>
      </c>
      <c r="I57" s="14">
        <v>36820.3</v>
      </c>
      <c r="J57" s="25">
        <f>K57+L57+M57</f>
        <v>417981.3</v>
      </c>
      <c r="K57" s="14">
        <v>378102.7</v>
      </c>
      <c r="L57" s="14"/>
      <c r="M57" s="14">
        <v>39878.6</v>
      </c>
      <c r="N57" s="6">
        <f t="shared" si="2"/>
        <v>139.75480064107114</v>
      </c>
      <c r="O57" s="16"/>
      <c r="P57" s="23">
        <v>144966.1</v>
      </c>
      <c r="Q57" s="8">
        <f>K57/P57*100</f>
        <v>260.82146101743785</v>
      </c>
    </row>
    <row r="58" spans="1:17" ht="13.5" customHeight="1">
      <c r="A58" s="18" t="s">
        <v>73</v>
      </c>
      <c r="B58" s="19" t="s">
        <v>74</v>
      </c>
      <c r="C58" s="14">
        <v>560216</v>
      </c>
      <c r="D58" s="14"/>
      <c r="E58" s="14">
        <v>630304.6</v>
      </c>
      <c r="F58" s="11">
        <f t="shared" si="4"/>
        <v>584069.1</v>
      </c>
      <c r="G58" s="14">
        <f>229015.3+1537.8-49348.1</f>
        <v>181204.99999999997</v>
      </c>
      <c r="H58" s="14">
        <f>388910.2+322</f>
        <v>389232.2</v>
      </c>
      <c r="I58" s="14">
        <f>19789.6+25-6182.7</f>
        <v>13631.899999999998</v>
      </c>
      <c r="J58" s="25">
        <f>K58+L58+M58</f>
        <v>799977.1000000001</v>
      </c>
      <c r="K58" s="14">
        <v>303240.7</v>
      </c>
      <c r="L58" s="14">
        <f>10772.6+447892+24724</f>
        <v>483388.6</v>
      </c>
      <c r="M58" s="14">
        <v>13347.8</v>
      </c>
      <c r="N58" s="6">
        <f t="shared" si="2"/>
        <v>167.34676195469223</v>
      </c>
      <c r="O58" s="16"/>
      <c r="P58" s="23">
        <v>322667</v>
      </c>
      <c r="Q58" s="8">
        <f>K58/P58*100</f>
        <v>93.9794586989063</v>
      </c>
    </row>
    <row r="59" spans="1:17" ht="15">
      <c r="A59" s="18" t="s">
        <v>155</v>
      </c>
      <c r="B59" s="19"/>
      <c r="C59" s="14"/>
      <c r="D59" s="14"/>
      <c r="E59" s="14"/>
      <c r="F59" s="11">
        <f t="shared" si="4"/>
        <v>55530.799999999996</v>
      </c>
      <c r="G59" s="14">
        <v>49348.1</v>
      </c>
      <c r="H59" s="14"/>
      <c r="I59" s="14">
        <v>6182.7</v>
      </c>
      <c r="J59" s="25">
        <f>K59+L59+M59</f>
        <v>76783.7</v>
      </c>
      <c r="K59" s="14">
        <v>70971</v>
      </c>
      <c r="L59" s="14"/>
      <c r="M59" s="14">
        <v>5812.7</v>
      </c>
      <c r="N59" s="6"/>
      <c r="O59" s="16"/>
      <c r="P59" s="23"/>
      <c r="Q59" s="8"/>
    </row>
    <row r="60" spans="1:17" ht="30">
      <c r="A60" s="18" t="s">
        <v>75</v>
      </c>
      <c r="B60" s="19" t="s">
        <v>76</v>
      </c>
      <c r="C60" s="14">
        <v>3320</v>
      </c>
      <c r="D60" s="14"/>
      <c r="E60" s="14">
        <v>13350</v>
      </c>
      <c r="F60" s="11">
        <f t="shared" si="4"/>
        <v>18884.4</v>
      </c>
      <c r="G60" s="14">
        <f>4600+170+100-2190.6</f>
        <v>2679.4</v>
      </c>
      <c r="H60" s="14">
        <v>1557.2</v>
      </c>
      <c r="I60" s="14">
        <f>15244.9-597.1</f>
        <v>14647.8</v>
      </c>
      <c r="J60" s="25">
        <f t="shared" si="1"/>
        <v>14530</v>
      </c>
      <c r="K60" s="14">
        <v>4580</v>
      </c>
      <c r="L60" s="14">
        <v>650</v>
      </c>
      <c r="M60" s="14">
        <v>9300</v>
      </c>
      <c r="N60" s="6">
        <f t="shared" si="2"/>
        <v>170.93379114727176</v>
      </c>
      <c r="O60" s="16"/>
      <c r="P60" s="23">
        <v>12560</v>
      </c>
      <c r="Q60" s="8">
        <f t="shared" si="3"/>
        <v>36.46496815286624</v>
      </c>
    </row>
    <row r="61" spans="1:17" ht="15">
      <c r="A61" s="18" t="s">
        <v>152</v>
      </c>
      <c r="B61" s="19"/>
      <c r="C61" s="14"/>
      <c r="D61" s="14"/>
      <c r="E61" s="14"/>
      <c r="F61" s="11">
        <f t="shared" si="4"/>
        <v>2190.6</v>
      </c>
      <c r="G61" s="14">
        <v>2190.6</v>
      </c>
      <c r="H61" s="14"/>
      <c r="I61" s="14"/>
      <c r="J61" s="25">
        <f t="shared" si="1"/>
        <v>4150</v>
      </c>
      <c r="K61" s="14">
        <v>4150</v>
      </c>
      <c r="L61" s="14"/>
      <c r="M61" s="14"/>
      <c r="N61" s="6">
        <f t="shared" si="2"/>
        <v>189.44581393225602</v>
      </c>
      <c r="O61" s="16"/>
      <c r="P61" s="23"/>
      <c r="Q61" s="8"/>
    </row>
    <row r="62" spans="1:17" ht="30">
      <c r="A62" s="18" t="s">
        <v>77</v>
      </c>
      <c r="B62" s="19" t="s">
        <v>78</v>
      </c>
      <c r="C62" s="14">
        <v>30938</v>
      </c>
      <c r="D62" s="14"/>
      <c r="E62" s="23">
        <f>SUM(E63:E65)</f>
        <v>31261.9</v>
      </c>
      <c r="F62" s="11">
        <f t="shared" si="4"/>
        <v>29154.3</v>
      </c>
      <c r="G62" s="23">
        <f>SUM(G63:G65)</f>
        <v>28472.8</v>
      </c>
      <c r="H62" s="23">
        <f>SUM(H63:H65)</f>
        <v>0</v>
      </c>
      <c r="I62" s="23">
        <f>SUM(I63:I65)</f>
        <v>681.5</v>
      </c>
      <c r="J62" s="25">
        <f t="shared" si="1"/>
        <v>37673.5</v>
      </c>
      <c r="K62" s="23">
        <f>SUM(K63:K65)</f>
        <v>37673.5</v>
      </c>
      <c r="L62" s="23">
        <f>SUM(L63:L65)</f>
        <v>0</v>
      </c>
      <c r="M62" s="23">
        <f>SUM(M63:M65)</f>
        <v>0</v>
      </c>
      <c r="N62" s="6">
        <f t="shared" si="2"/>
        <v>132.3139979208227</v>
      </c>
      <c r="O62" s="16"/>
      <c r="P62" s="23">
        <f>SUM(P63:P65)</f>
        <v>76536.3</v>
      </c>
      <c r="Q62" s="8">
        <f t="shared" si="3"/>
        <v>49.22304840970885</v>
      </c>
    </row>
    <row r="63" spans="1:17" ht="15">
      <c r="A63" s="18" t="s">
        <v>79</v>
      </c>
      <c r="B63" s="19"/>
      <c r="C63" s="14"/>
      <c r="D63" s="14"/>
      <c r="E63" s="23">
        <v>20082.2</v>
      </c>
      <c r="F63" s="11">
        <f t="shared" si="4"/>
        <v>17974.6</v>
      </c>
      <c r="G63" s="24">
        <f>17103.1+10.6+179.4</f>
        <v>17293.1</v>
      </c>
      <c r="H63" s="24"/>
      <c r="I63" s="24">
        <v>681.5</v>
      </c>
      <c r="J63" s="25">
        <f t="shared" si="1"/>
        <v>23991.8</v>
      </c>
      <c r="K63" s="24">
        <v>23991.8</v>
      </c>
      <c r="L63" s="24"/>
      <c r="M63" s="24"/>
      <c r="N63" s="6">
        <f t="shared" si="2"/>
        <v>138.7362589703408</v>
      </c>
      <c r="O63" s="16"/>
      <c r="P63" s="23">
        <v>9658.6</v>
      </c>
      <c r="Q63" s="8">
        <f t="shared" si="3"/>
        <v>248.3983185968981</v>
      </c>
    </row>
    <row r="64" spans="1:17" ht="13.5" customHeight="1">
      <c r="A64" s="18" t="s">
        <v>80</v>
      </c>
      <c r="B64" s="19"/>
      <c r="C64" s="14"/>
      <c r="D64" s="14"/>
      <c r="E64" s="23">
        <v>11179.7</v>
      </c>
      <c r="F64" s="11">
        <f t="shared" si="4"/>
        <v>11179.7</v>
      </c>
      <c r="G64" s="24">
        <v>11179.7</v>
      </c>
      <c r="H64" s="24"/>
      <c r="I64" s="24"/>
      <c r="J64" s="25">
        <f t="shared" si="1"/>
        <v>13681.7</v>
      </c>
      <c r="K64" s="24">
        <v>13681.7</v>
      </c>
      <c r="L64" s="24"/>
      <c r="M64" s="24"/>
      <c r="N64" s="6">
        <f t="shared" si="2"/>
        <v>122.37984919094428</v>
      </c>
      <c r="O64" s="16"/>
      <c r="P64" s="23">
        <v>7258.2</v>
      </c>
      <c r="Q64" s="8">
        <f t="shared" si="3"/>
        <v>188.49990355735585</v>
      </c>
    </row>
    <row r="65" spans="1:17" ht="11.25" customHeight="1">
      <c r="A65" s="18" t="s">
        <v>81</v>
      </c>
      <c r="B65" s="19"/>
      <c r="C65" s="14"/>
      <c r="D65" s="14"/>
      <c r="E65" s="14"/>
      <c r="F65" s="11">
        <f t="shared" si="4"/>
        <v>0</v>
      </c>
      <c r="G65" s="14"/>
      <c r="H65" s="14"/>
      <c r="I65" s="14"/>
      <c r="J65" s="25">
        <f t="shared" si="1"/>
        <v>0</v>
      </c>
      <c r="K65" s="14"/>
      <c r="L65" s="14"/>
      <c r="M65" s="14"/>
      <c r="N65" s="6"/>
      <c r="O65" s="16"/>
      <c r="P65" s="23">
        <v>59619.5</v>
      </c>
      <c r="Q65" s="8">
        <f t="shared" si="3"/>
        <v>0</v>
      </c>
    </row>
    <row r="66" spans="1:17" ht="24" customHeight="1">
      <c r="A66" s="3" t="s">
        <v>82</v>
      </c>
      <c r="B66" s="4" t="s">
        <v>83</v>
      </c>
      <c r="C66" s="5">
        <f>SUM(C67:C72)</f>
        <v>6751</v>
      </c>
      <c r="D66" s="5">
        <f>SUM(D67:D72)</f>
        <v>0</v>
      </c>
      <c r="E66" s="5">
        <f>SUM(E67:E72)</f>
        <v>8885.5</v>
      </c>
      <c r="F66" s="5">
        <f aca="true" t="shared" si="8" ref="F66:M66">SUM(F67:F73)</f>
        <v>12854.099999999999</v>
      </c>
      <c r="G66" s="5">
        <f t="shared" si="8"/>
        <v>11014.099999999999</v>
      </c>
      <c r="H66" s="5">
        <f t="shared" si="8"/>
        <v>1840</v>
      </c>
      <c r="I66" s="5">
        <f t="shared" si="8"/>
        <v>0</v>
      </c>
      <c r="J66" s="54">
        <f t="shared" si="8"/>
        <v>13391.1</v>
      </c>
      <c r="K66" s="5">
        <f t="shared" si="8"/>
        <v>13061.8</v>
      </c>
      <c r="L66" s="5">
        <f t="shared" si="8"/>
        <v>329.3</v>
      </c>
      <c r="M66" s="5">
        <f t="shared" si="8"/>
        <v>0</v>
      </c>
      <c r="N66" s="6">
        <f t="shared" si="2"/>
        <v>118.59162346446827</v>
      </c>
      <c r="O66" s="27">
        <f>K66/K95*100</f>
        <v>0.818219961590305</v>
      </c>
      <c r="P66" s="50">
        <f>SUM(P67:P73)</f>
        <v>6407</v>
      </c>
      <c r="Q66" s="8">
        <f t="shared" si="3"/>
        <v>203.86764476353986</v>
      </c>
    </row>
    <row r="67" spans="1:17" ht="30">
      <c r="A67" s="18" t="s">
        <v>153</v>
      </c>
      <c r="B67" s="19" t="s">
        <v>84</v>
      </c>
      <c r="C67" s="14">
        <v>4478</v>
      </c>
      <c r="D67" s="14"/>
      <c r="E67" s="14">
        <v>5358.2</v>
      </c>
      <c r="F67" s="11">
        <f t="shared" si="4"/>
        <v>3072.6</v>
      </c>
      <c r="G67" s="14">
        <v>3072.6</v>
      </c>
      <c r="H67" s="14"/>
      <c r="I67" s="14"/>
      <c r="J67" s="25">
        <f t="shared" si="1"/>
        <v>3106.5</v>
      </c>
      <c r="K67" s="14">
        <f>3106.5</f>
        <v>3106.5</v>
      </c>
      <c r="L67" s="14"/>
      <c r="M67" s="14"/>
      <c r="N67" s="6">
        <f t="shared" si="2"/>
        <v>101.10330013669207</v>
      </c>
      <c r="O67" s="16"/>
      <c r="P67" s="23">
        <v>3955.2</v>
      </c>
      <c r="Q67" s="8">
        <f t="shared" si="3"/>
        <v>78.54217233009709</v>
      </c>
    </row>
    <row r="68" spans="1:17" ht="14.25" customHeight="1">
      <c r="A68" s="18" t="s">
        <v>154</v>
      </c>
      <c r="B68" s="19"/>
      <c r="C68" s="14"/>
      <c r="D68" s="14"/>
      <c r="E68" s="14"/>
      <c r="F68" s="11">
        <f t="shared" si="4"/>
        <v>4268.2</v>
      </c>
      <c r="G68" s="14">
        <v>4268.2</v>
      </c>
      <c r="H68" s="14"/>
      <c r="I68" s="14"/>
      <c r="J68" s="25">
        <f t="shared" si="1"/>
        <v>6995.6</v>
      </c>
      <c r="K68" s="14">
        <v>6666.3</v>
      </c>
      <c r="L68" s="14">
        <v>329.3</v>
      </c>
      <c r="M68" s="14"/>
      <c r="N68" s="6"/>
      <c r="O68" s="16"/>
      <c r="P68" s="23"/>
      <c r="Q68" s="8"/>
    </row>
    <row r="69" spans="1:17" ht="12" customHeight="1">
      <c r="A69" s="18" t="s">
        <v>164</v>
      </c>
      <c r="B69" s="19"/>
      <c r="C69" s="14"/>
      <c r="D69" s="14"/>
      <c r="E69" s="14"/>
      <c r="F69" s="11">
        <f t="shared" si="4"/>
        <v>536</v>
      </c>
      <c r="G69" s="14">
        <v>536</v>
      </c>
      <c r="H69" s="14"/>
      <c r="I69" s="14"/>
      <c r="J69" s="25">
        <f t="shared" si="1"/>
        <v>0</v>
      </c>
      <c r="K69" s="14"/>
      <c r="L69" s="14"/>
      <c r="M69" s="14"/>
      <c r="N69" s="6"/>
      <c r="O69" s="16"/>
      <c r="P69" s="23"/>
      <c r="Q69" s="8"/>
    </row>
    <row r="70" spans="1:17" ht="15.75" customHeight="1">
      <c r="A70" s="18" t="s">
        <v>85</v>
      </c>
      <c r="B70" s="19" t="s">
        <v>86</v>
      </c>
      <c r="C70" s="14">
        <v>400</v>
      </c>
      <c r="D70" s="14"/>
      <c r="E70" s="14">
        <v>400</v>
      </c>
      <c r="F70" s="11">
        <f t="shared" si="4"/>
        <v>400</v>
      </c>
      <c r="G70" s="14">
        <v>400</v>
      </c>
      <c r="H70" s="14"/>
      <c r="I70" s="14"/>
      <c r="J70" s="25">
        <f t="shared" si="1"/>
        <v>500</v>
      </c>
      <c r="K70" s="14">
        <f>100+400</f>
        <v>500</v>
      </c>
      <c r="L70" s="14"/>
      <c r="M70" s="14"/>
      <c r="N70" s="6">
        <f t="shared" si="2"/>
        <v>125</v>
      </c>
      <c r="O70" s="16"/>
      <c r="P70" s="23">
        <v>275</v>
      </c>
      <c r="Q70" s="8">
        <f t="shared" si="3"/>
        <v>181.8181818181818</v>
      </c>
    </row>
    <row r="71" spans="1:17" ht="15.75" customHeight="1">
      <c r="A71" s="18" t="s">
        <v>87</v>
      </c>
      <c r="B71" s="19" t="s">
        <v>88</v>
      </c>
      <c r="C71" s="14">
        <v>480</v>
      </c>
      <c r="D71" s="14"/>
      <c r="E71" s="14">
        <v>480</v>
      </c>
      <c r="F71" s="11">
        <f t="shared" si="4"/>
        <v>480</v>
      </c>
      <c r="G71" s="14">
        <v>480</v>
      </c>
      <c r="H71" s="14"/>
      <c r="I71" s="14"/>
      <c r="J71" s="25">
        <f t="shared" si="1"/>
        <v>550</v>
      </c>
      <c r="K71" s="14">
        <f>50+500</f>
        <v>550</v>
      </c>
      <c r="L71" s="14"/>
      <c r="M71" s="14"/>
      <c r="N71" s="6">
        <f t="shared" si="2"/>
        <v>114.58333333333333</v>
      </c>
      <c r="O71" s="16"/>
      <c r="P71" s="23">
        <v>313.3</v>
      </c>
      <c r="Q71" s="8">
        <f t="shared" si="3"/>
        <v>175.55059048834983</v>
      </c>
    </row>
    <row r="72" spans="1:17" ht="21" customHeight="1">
      <c r="A72" s="18" t="s">
        <v>89</v>
      </c>
      <c r="B72" s="19" t="s">
        <v>90</v>
      </c>
      <c r="C72" s="14">
        <v>1393</v>
      </c>
      <c r="D72" s="14"/>
      <c r="E72" s="14">
        <v>2647.3</v>
      </c>
      <c r="F72" s="11">
        <f t="shared" si="4"/>
        <v>2257.3</v>
      </c>
      <c r="G72" s="14">
        <v>2257.3</v>
      </c>
      <c r="H72" s="14"/>
      <c r="I72" s="14"/>
      <c r="J72" s="25">
        <f t="shared" si="1"/>
        <v>2239</v>
      </c>
      <c r="K72" s="14">
        <v>2239</v>
      </c>
      <c r="L72" s="14"/>
      <c r="M72" s="14"/>
      <c r="N72" s="6">
        <f t="shared" si="2"/>
        <v>99.18929694768084</v>
      </c>
      <c r="O72" s="16"/>
      <c r="P72" s="23">
        <v>982.3</v>
      </c>
      <c r="Q72" s="8">
        <f t="shared" si="3"/>
        <v>227.9344395805762</v>
      </c>
    </row>
    <row r="73" spans="1:17" ht="24" customHeight="1">
      <c r="A73" s="18" t="s">
        <v>91</v>
      </c>
      <c r="B73" s="19" t="s">
        <v>90</v>
      </c>
      <c r="C73" s="14"/>
      <c r="D73" s="14"/>
      <c r="E73" s="14"/>
      <c r="F73" s="11">
        <f t="shared" si="4"/>
        <v>1840</v>
      </c>
      <c r="G73" s="14"/>
      <c r="H73" s="14">
        <v>1840</v>
      </c>
      <c r="I73" s="14"/>
      <c r="J73" s="25">
        <f t="shared" si="1"/>
        <v>0</v>
      </c>
      <c r="K73" s="14"/>
      <c r="L73" s="14"/>
      <c r="M73" s="14"/>
      <c r="N73" s="6"/>
      <c r="O73" s="16"/>
      <c r="P73" s="23">
        <v>881.2</v>
      </c>
      <c r="Q73" s="8">
        <f t="shared" si="3"/>
        <v>0</v>
      </c>
    </row>
    <row r="74" spans="1:17" ht="12" customHeight="1">
      <c r="A74" s="3" t="s">
        <v>92</v>
      </c>
      <c r="B74" s="4" t="s">
        <v>93</v>
      </c>
      <c r="C74" s="5">
        <f>SUM(C75:C80)</f>
        <v>211709</v>
      </c>
      <c r="D74" s="5">
        <f>SUM(D75:D80)</f>
        <v>0</v>
      </c>
      <c r="E74" s="5">
        <f>SUM(E75:E80)</f>
        <v>261141</v>
      </c>
      <c r="F74" s="5">
        <f>SUM(F75:F80)</f>
        <v>270779.39999999997</v>
      </c>
      <c r="G74" s="5">
        <f>SUM(G75:G80)</f>
        <v>215343</v>
      </c>
      <c r="H74" s="5">
        <f aca="true" t="shared" si="9" ref="H74:M74">SUM(H75:H80)</f>
        <v>15765.3</v>
      </c>
      <c r="I74" s="5">
        <f t="shared" si="9"/>
        <v>39671.1</v>
      </c>
      <c r="J74" s="54">
        <f t="shared" si="9"/>
        <v>257633.7</v>
      </c>
      <c r="K74" s="5">
        <f t="shared" si="9"/>
        <v>200805.6</v>
      </c>
      <c r="L74" s="5">
        <f t="shared" si="9"/>
        <v>16931.7</v>
      </c>
      <c r="M74" s="5">
        <f t="shared" si="9"/>
        <v>39896.4</v>
      </c>
      <c r="N74" s="6">
        <f aca="true" t="shared" si="10" ref="N74:N95">K74/G74*100</f>
        <v>93.24918850392166</v>
      </c>
      <c r="O74" s="7">
        <f>K74/K95*100</f>
        <v>12.578905688275595</v>
      </c>
      <c r="P74" s="50">
        <f>SUM(P75:P80)</f>
        <v>141445.2</v>
      </c>
      <c r="Q74" s="8">
        <f t="shared" si="3"/>
        <v>141.9670656904582</v>
      </c>
    </row>
    <row r="75" spans="1:17" ht="24" customHeight="1">
      <c r="A75" s="57" t="s">
        <v>129</v>
      </c>
      <c r="B75" s="58" t="s">
        <v>94</v>
      </c>
      <c r="C75" s="14">
        <v>210709</v>
      </c>
      <c r="D75" s="14"/>
      <c r="E75" s="14">
        <v>253141</v>
      </c>
      <c r="F75" s="11">
        <f aca="true" t="shared" si="11" ref="F75:F94">G75+H75+I75</f>
        <v>266473.39999999997</v>
      </c>
      <c r="G75" s="14">
        <f>207444.6+3752.4</f>
        <v>211197</v>
      </c>
      <c r="H75" s="14">
        <f>15693.3+72</f>
        <v>15765.3</v>
      </c>
      <c r="I75" s="14">
        <f>38011.1+1500</f>
        <v>39511.1</v>
      </c>
      <c r="J75" s="25">
        <f t="shared" si="1"/>
        <v>244547.7</v>
      </c>
      <c r="K75" s="14">
        <v>187719.6</v>
      </c>
      <c r="L75" s="14">
        <f>7791.6+9140.1</f>
        <v>16931.7</v>
      </c>
      <c r="M75" s="14">
        <v>39896.4</v>
      </c>
      <c r="N75" s="6">
        <f t="shared" si="10"/>
        <v>88.88364891546755</v>
      </c>
      <c r="O75" s="16"/>
      <c r="P75" s="23">
        <v>140013.5</v>
      </c>
      <c r="Q75" s="8">
        <f t="shared" si="3"/>
        <v>134.07250015177107</v>
      </c>
    </row>
    <row r="76" spans="1:17" ht="16.5" customHeight="1">
      <c r="A76" s="57" t="s">
        <v>165</v>
      </c>
      <c r="B76" s="58" t="s">
        <v>95</v>
      </c>
      <c r="C76" s="14"/>
      <c r="D76" s="14"/>
      <c r="E76" s="14"/>
      <c r="F76" s="11">
        <f t="shared" si="11"/>
        <v>0</v>
      </c>
      <c r="G76" s="14"/>
      <c r="H76" s="14"/>
      <c r="I76" s="14"/>
      <c r="J76" s="25"/>
      <c r="K76" s="14"/>
      <c r="L76" s="14"/>
      <c r="M76" s="14"/>
      <c r="N76" s="6"/>
      <c r="O76" s="16"/>
      <c r="P76" s="23"/>
      <c r="Q76" s="8"/>
    </row>
    <row r="77" spans="1:17" ht="18.75" customHeight="1" hidden="1">
      <c r="A77" s="57" t="s">
        <v>131</v>
      </c>
      <c r="B77" s="58" t="s">
        <v>130</v>
      </c>
      <c r="C77" s="14"/>
      <c r="D77" s="14"/>
      <c r="E77" s="14"/>
      <c r="F77" s="11">
        <f t="shared" si="11"/>
        <v>0</v>
      </c>
      <c r="G77" s="14"/>
      <c r="H77" s="14"/>
      <c r="I77" s="14"/>
      <c r="J77" s="25"/>
      <c r="K77" s="14"/>
      <c r="L77" s="14"/>
      <c r="M77" s="14"/>
      <c r="N77" s="6"/>
      <c r="O77" s="16"/>
      <c r="P77" s="23"/>
      <c r="Q77" s="8"/>
    </row>
    <row r="78" spans="1:17" ht="0.75" customHeight="1">
      <c r="A78" s="57" t="s">
        <v>133</v>
      </c>
      <c r="B78" s="58" t="s">
        <v>132</v>
      </c>
      <c r="C78" s="14"/>
      <c r="D78" s="14"/>
      <c r="E78" s="14"/>
      <c r="F78" s="11">
        <f t="shared" si="11"/>
        <v>0</v>
      </c>
      <c r="G78" s="14"/>
      <c r="H78" s="14"/>
      <c r="I78" s="14"/>
      <c r="J78" s="25"/>
      <c r="K78" s="14"/>
      <c r="L78" s="14"/>
      <c r="M78" s="14"/>
      <c r="N78" s="6"/>
      <c r="O78" s="16"/>
      <c r="P78" s="23"/>
      <c r="Q78" s="8"/>
    </row>
    <row r="79" spans="1:17" ht="11.25" customHeight="1" hidden="1">
      <c r="A79" s="57" t="s">
        <v>134</v>
      </c>
      <c r="B79" s="58" t="s">
        <v>135</v>
      </c>
      <c r="C79" s="14"/>
      <c r="D79" s="14"/>
      <c r="E79" s="14"/>
      <c r="F79" s="11">
        <f t="shared" si="11"/>
        <v>0</v>
      </c>
      <c r="G79" s="14"/>
      <c r="H79" s="14"/>
      <c r="I79" s="14"/>
      <c r="J79" s="25"/>
      <c r="K79" s="14"/>
      <c r="L79" s="14"/>
      <c r="M79" s="14"/>
      <c r="N79" s="6"/>
      <c r="O79" s="16"/>
      <c r="P79" s="23"/>
      <c r="Q79" s="8"/>
    </row>
    <row r="80" spans="1:17" ht="14.25" customHeight="1">
      <c r="A80" s="57" t="s">
        <v>136</v>
      </c>
      <c r="B80" s="58" t="s">
        <v>137</v>
      </c>
      <c r="C80" s="14">
        <v>1000</v>
      </c>
      <c r="D80" s="14"/>
      <c r="E80" s="14">
        <v>8000</v>
      </c>
      <c r="F80" s="11">
        <f t="shared" si="11"/>
        <v>4306</v>
      </c>
      <c r="G80" s="14">
        <f>3000+1146</f>
        <v>4146</v>
      </c>
      <c r="H80" s="14"/>
      <c r="I80" s="14">
        <v>160</v>
      </c>
      <c r="J80" s="25">
        <f t="shared" si="1"/>
        <v>13086</v>
      </c>
      <c r="K80" s="14">
        <v>13086</v>
      </c>
      <c r="L80" s="14"/>
      <c r="M80" s="14"/>
      <c r="N80" s="6">
        <f t="shared" si="10"/>
        <v>315.62952243125903</v>
      </c>
      <c r="O80" s="16"/>
      <c r="P80" s="23">
        <v>1431.7</v>
      </c>
      <c r="Q80" s="8">
        <f t="shared" si="3"/>
        <v>914.0182999231681</v>
      </c>
    </row>
    <row r="81" spans="1:17" ht="12" customHeight="1" hidden="1">
      <c r="A81" s="57" t="s">
        <v>138</v>
      </c>
      <c r="B81" s="58" t="s">
        <v>139</v>
      </c>
      <c r="C81" s="14"/>
      <c r="D81" s="14"/>
      <c r="E81" s="14"/>
      <c r="F81" s="11">
        <f t="shared" si="11"/>
        <v>0</v>
      </c>
      <c r="G81" s="14"/>
      <c r="H81" s="14"/>
      <c r="I81" s="14"/>
      <c r="J81" s="25"/>
      <c r="K81" s="14"/>
      <c r="L81" s="14"/>
      <c r="M81" s="14"/>
      <c r="N81" s="6"/>
      <c r="O81" s="16"/>
      <c r="P81" s="23"/>
      <c r="Q81" s="8"/>
    </row>
    <row r="82" spans="1:17" ht="12.75" customHeight="1">
      <c r="A82" s="3" t="s">
        <v>96</v>
      </c>
      <c r="B82" s="4">
        <v>1000</v>
      </c>
      <c r="C82" s="5">
        <f>SUM(C83:C88)</f>
        <v>65632</v>
      </c>
      <c r="D82" s="5">
        <f>SUM(D83:D88)</f>
        <v>0</v>
      </c>
      <c r="E82" s="5">
        <f aca="true" t="shared" si="12" ref="E82:M82">SUM(E83:E89)</f>
        <v>511758.1</v>
      </c>
      <c r="F82" s="5">
        <f t="shared" si="12"/>
        <v>556495.6</v>
      </c>
      <c r="G82" s="5">
        <f t="shared" si="12"/>
        <v>29823.5</v>
      </c>
      <c r="H82" s="5">
        <f t="shared" si="12"/>
        <v>522803.9</v>
      </c>
      <c r="I82" s="5">
        <f t="shared" si="12"/>
        <v>3868.2000000000003</v>
      </c>
      <c r="J82" s="54">
        <f t="shared" si="12"/>
        <v>630768</v>
      </c>
      <c r="K82" s="5">
        <f t="shared" si="12"/>
        <v>14854.6</v>
      </c>
      <c r="L82" s="5">
        <f t="shared" si="12"/>
        <v>612395</v>
      </c>
      <c r="M82" s="5">
        <f t="shared" si="12"/>
        <v>3518.4</v>
      </c>
      <c r="N82" s="6">
        <f t="shared" si="10"/>
        <v>49.80837259208343</v>
      </c>
      <c r="O82" s="7">
        <f>K82/K95*100</f>
        <v>0.9305249078564474</v>
      </c>
      <c r="P82" s="50">
        <f>SUM(P83:P89)</f>
        <v>212388</v>
      </c>
      <c r="Q82" s="8">
        <f t="shared" si="3"/>
        <v>6.99408629489425</v>
      </c>
    </row>
    <row r="83" spans="1:17" ht="12.75" customHeight="1">
      <c r="A83" s="18" t="s">
        <v>97</v>
      </c>
      <c r="B83" s="19">
        <v>1001</v>
      </c>
      <c r="C83" s="14">
        <v>6460</v>
      </c>
      <c r="D83" s="14"/>
      <c r="E83" s="14">
        <v>5800</v>
      </c>
      <c r="F83" s="11">
        <f t="shared" si="11"/>
        <v>6300</v>
      </c>
      <c r="G83" s="14">
        <f>5800+500</f>
        <v>6300</v>
      </c>
      <c r="H83" s="14"/>
      <c r="I83" s="14"/>
      <c r="J83" s="25">
        <f t="shared" si="1"/>
        <v>7180</v>
      </c>
      <c r="K83" s="14">
        <v>7180</v>
      </c>
      <c r="L83" s="14"/>
      <c r="M83" s="14"/>
      <c r="N83" s="6">
        <f t="shared" si="10"/>
        <v>113.96825396825396</v>
      </c>
      <c r="O83" s="16"/>
      <c r="P83" s="23">
        <v>3441.8</v>
      </c>
      <c r="Q83" s="8">
        <f t="shared" si="3"/>
        <v>208.6117729095241</v>
      </c>
    </row>
    <row r="84" spans="1:17" ht="14.25" customHeight="1">
      <c r="A84" s="12" t="s">
        <v>98</v>
      </c>
      <c r="B84" s="13">
        <v>1002</v>
      </c>
      <c r="C84" s="14">
        <v>25317</v>
      </c>
      <c r="D84" s="14"/>
      <c r="E84" s="14">
        <v>32596</v>
      </c>
      <c r="F84" s="11">
        <f t="shared" si="11"/>
        <v>34309.3</v>
      </c>
      <c r="G84" s="14">
        <v>142</v>
      </c>
      <c r="H84" s="14">
        <v>30586</v>
      </c>
      <c r="I84" s="14">
        <f>3360.8+220.5</f>
        <v>3581.3</v>
      </c>
      <c r="J84" s="25">
        <f t="shared" si="1"/>
        <v>42185</v>
      </c>
      <c r="K84" s="14">
        <v>417.6</v>
      </c>
      <c r="L84" s="14">
        <v>38249</v>
      </c>
      <c r="M84" s="14">
        <v>3518.4</v>
      </c>
      <c r="N84" s="6"/>
      <c r="O84" s="16"/>
      <c r="P84" s="23">
        <v>14181.6</v>
      </c>
      <c r="Q84" s="8">
        <f t="shared" si="3"/>
        <v>2.944660687087494</v>
      </c>
    </row>
    <row r="85" spans="1:17" ht="13.5" customHeight="1">
      <c r="A85" s="28" t="s">
        <v>99</v>
      </c>
      <c r="B85" s="29">
        <v>1003</v>
      </c>
      <c r="C85" s="14">
        <v>0</v>
      </c>
      <c r="D85" s="14">
        <v>4551</v>
      </c>
      <c r="E85" s="14">
        <v>440317.1</v>
      </c>
      <c r="F85" s="11">
        <f t="shared" si="11"/>
        <v>470761.9</v>
      </c>
      <c r="G85" s="14">
        <f>4513.5+888</f>
        <v>5401.5</v>
      </c>
      <c r="H85" s="14">
        <f>460339.5+4734</f>
        <v>465073.5</v>
      </c>
      <c r="I85" s="14">
        <v>286.9</v>
      </c>
      <c r="J85" s="25">
        <f aca="true" t="shared" si="13" ref="J85:J94">K85+L85+M85</f>
        <v>531575</v>
      </c>
      <c r="K85" s="14">
        <v>2000</v>
      </c>
      <c r="L85" s="14">
        <f>26136+7497+12505+75793+64321+720+210926+1795+1238+32457+7021+436+67+341+5717+5625+29851+16050+2312+1969+23363+2249+316+870</f>
        <v>529575</v>
      </c>
      <c r="M85" s="14"/>
      <c r="N85" s="6">
        <f t="shared" si="10"/>
        <v>37.02675182819587</v>
      </c>
      <c r="O85" s="16"/>
      <c r="P85" s="23">
        <v>175451.2</v>
      </c>
      <c r="Q85" s="8">
        <f aca="true" t="shared" si="14" ref="Q85:Q95">K85/P85*100</f>
        <v>1.139918108283101</v>
      </c>
    </row>
    <row r="86" spans="1:17" ht="12" customHeight="1" hidden="1">
      <c r="A86" s="18" t="s">
        <v>100</v>
      </c>
      <c r="B86" s="19" t="s">
        <v>101</v>
      </c>
      <c r="C86" s="14"/>
      <c r="D86" s="14"/>
      <c r="E86" s="14"/>
      <c r="F86" s="11">
        <f t="shared" si="11"/>
        <v>0</v>
      </c>
      <c r="G86" s="14"/>
      <c r="H86" s="14"/>
      <c r="I86" s="14"/>
      <c r="J86" s="25">
        <f t="shared" si="13"/>
        <v>0</v>
      </c>
      <c r="K86" s="14"/>
      <c r="L86" s="14"/>
      <c r="M86" s="14"/>
      <c r="N86" s="6" t="e">
        <f t="shared" si="10"/>
        <v>#DIV/0!</v>
      </c>
      <c r="O86" s="16"/>
      <c r="P86" s="23"/>
      <c r="Q86" s="8" t="e">
        <f t="shared" si="14"/>
        <v>#DIV/0!</v>
      </c>
    </row>
    <row r="87" spans="1:17" ht="12.75" customHeight="1">
      <c r="A87" s="59" t="s">
        <v>140</v>
      </c>
      <c r="B87" s="60">
        <v>1004</v>
      </c>
      <c r="C87" s="14">
        <v>9420</v>
      </c>
      <c r="D87" s="14"/>
      <c r="E87" s="14">
        <v>10380</v>
      </c>
      <c r="F87" s="11">
        <f t="shared" si="11"/>
        <v>19459.4</v>
      </c>
      <c r="G87" s="14">
        <v>10380</v>
      </c>
      <c r="H87" s="14">
        <v>9079.4</v>
      </c>
      <c r="I87" s="14"/>
      <c r="J87" s="25">
        <f t="shared" si="13"/>
        <v>22340</v>
      </c>
      <c r="K87" s="14"/>
      <c r="L87" s="14">
        <f>1008+14548+1536+2328+2920</f>
        <v>22340</v>
      </c>
      <c r="M87" s="14"/>
      <c r="N87" s="6">
        <f t="shared" si="10"/>
        <v>0</v>
      </c>
      <c r="O87" s="16"/>
      <c r="P87" s="23">
        <v>6400.4</v>
      </c>
      <c r="Q87" s="8">
        <f t="shared" si="14"/>
        <v>0</v>
      </c>
    </row>
    <row r="88" spans="1:17" ht="23.25" customHeight="1">
      <c r="A88" s="18" t="s">
        <v>102</v>
      </c>
      <c r="B88" s="19">
        <v>1006</v>
      </c>
      <c r="C88" s="14">
        <v>24435</v>
      </c>
      <c r="D88" s="14">
        <v>-4551</v>
      </c>
      <c r="E88" s="14">
        <v>18065</v>
      </c>
      <c r="F88" s="11">
        <f t="shared" si="11"/>
        <v>18065</v>
      </c>
      <c r="G88" s="24"/>
      <c r="H88" s="24">
        <v>18065</v>
      </c>
      <c r="I88" s="24"/>
      <c r="J88" s="25">
        <f t="shared" si="13"/>
        <v>22231</v>
      </c>
      <c r="K88" s="24"/>
      <c r="L88" s="24">
        <v>22231</v>
      </c>
      <c r="M88" s="24"/>
      <c r="N88" s="6"/>
      <c r="O88" s="16"/>
      <c r="P88" s="23">
        <v>9504.4</v>
      </c>
      <c r="Q88" s="8">
        <f t="shared" si="14"/>
        <v>0</v>
      </c>
    </row>
    <row r="89" spans="1:17" ht="24" customHeight="1">
      <c r="A89" s="18" t="s">
        <v>103</v>
      </c>
      <c r="B89" s="19" t="s">
        <v>104</v>
      </c>
      <c r="C89" s="14"/>
      <c r="D89" s="14"/>
      <c r="E89" s="14">
        <v>4600</v>
      </c>
      <c r="F89" s="11">
        <f t="shared" si="11"/>
        <v>7600</v>
      </c>
      <c r="G89" s="24">
        <v>7600</v>
      </c>
      <c r="H89" s="24"/>
      <c r="I89" s="24"/>
      <c r="J89" s="25">
        <f t="shared" si="13"/>
        <v>5257</v>
      </c>
      <c r="K89" s="24">
        <f>4600+657</f>
        <v>5257</v>
      </c>
      <c r="L89" s="24"/>
      <c r="M89" s="24"/>
      <c r="N89" s="6">
        <f t="shared" si="10"/>
        <v>69.17105263157895</v>
      </c>
      <c r="O89" s="16"/>
      <c r="P89" s="23">
        <v>3408.6</v>
      </c>
      <c r="Q89" s="8">
        <f t="shared" si="14"/>
        <v>154.22754209939563</v>
      </c>
    </row>
    <row r="90" spans="1:17" ht="12" customHeight="1">
      <c r="A90" s="3" t="s">
        <v>105</v>
      </c>
      <c r="B90" s="5">
        <v>1100</v>
      </c>
      <c r="C90" s="5">
        <f>SUM(C91)</f>
        <v>114339</v>
      </c>
      <c r="D90" s="5">
        <f>SUM(D91)</f>
        <v>0</v>
      </c>
      <c r="E90" s="5">
        <f>SUM(E91)</f>
        <v>178445</v>
      </c>
      <c r="F90" s="5">
        <f aca="true" t="shared" si="15" ref="F90:M90">SUM(F91:F94)</f>
        <v>183813.40000000002</v>
      </c>
      <c r="G90" s="5">
        <f t="shared" si="15"/>
        <v>183813.40000000002</v>
      </c>
      <c r="H90" s="5">
        <f t="shared" si="15"/>
        <v>0</v>
      </c>
      <c r="I90" s="5">
        <f t="shared" si="15"/>
        <v>0</v>
      </c>
      <c r="J90" s="54">
        <f t="shared" si="15"/>
        <v>161496</v>
      </c>
      <c r="K90" s="5">
        <f t="shared" si="15"/>
        <v>161496</v>
      </c>
      <c r="L90" s="5">
        <f t="shared" si="15"/>
        <v>0</v>
      </c>
      <c r="M90" s="5">
        <f t="shared" si="15"/>
        <v>0</v>
      </c>
      <c r="N90" s="6">
        <f t="shared" si="10"/>
        <v>87.85866536389621</v>
      </c>
      <c r="O90" s="7">
        <f>K90/K95*100</f>
        <v>10.116465641564556</v>
      </c>
      <c r="P90" s="50">
        <f>SUM(P91:P94)</f>
        <v>39732.5</v>
      </c>
      <c r="Q90" s="8">
        <f t="shared" si="14"/>
        <v>406.45818913987284</v>
      </c>
    </row>
    <row r="91" spans="1:17" ht="12.75" customHeight="1">
      <c r="A91" s="57" t="s">
        <v>141</v>
      </c>
      <c r="B91" s="58" t="s">
        <v>106</v>
      </c>
      <c r="C91" s="14">
        <v>114339</v>
      </c>
      <c r="D91" s="14"/>
      <c r="E91" s="14">
        <v>178445</v>
      </c>
      <c r="F91" s="11">
        <f t="shared" si="11"/>
        <v>146408.2</v>
      </c>
      <c r="G91" s="14">
        <v>146408.2</v>
      </c>
      <c r="H91" s="14"/>
      <c r="I91" s="14"/>
      <c r="J91" s="25">
        <f t="shared" si="13"/>
        <v>161496</v>
      </c>
      <c r="K91" s="14">
        <f>150983.1+10512.9</f>
        <v>161496</v>
      </c>
      <c r="L91" s="14"/>
      <c r="M91" s="14"/>
      <c r="N91" s="6">
        <f t="shared" si="10"/>
        <v>110.30529710767564</v>
      </c>
      <c r="O91" s="30"/>
      <c r="P91" s="23">
        <v>39732.5</v>
      </c>
      <c r="Q91" s="8">
        <f t="shared" si="14"/>
        <v>406.45818913987284</v>
      </c>
    </row>
    <row r="92" spans="1:17" ht="12.75" customHeight="1">
      <c r="A92" s="57" t="s">
        <v>142</v>
      </c>
      <c r="B92" s="58" t="s">
        <v>145</v>
      </c>
      <c r="C92" s="14"/>
      <c r="D92" s="14"/>
      <c r="E92" s="14"/>
      <c r="F92" s="11">
        <f t="shared" si="11"/>
        <v>0</v>
      </c>
      <c r="G92" s="14"/>
      <c r="H92" s="14"/>
      <c r="I92" s="14"/>
      <c r="J92" s="25"/>
      <c r="K92" s="14"/>
      <c r="L92" s="14"/>
      <c r="M92" s="14"/>
      <c r="N92" s="6"/>
      <c r="O92" s="30"/>
      <c r="P92" s="23"/>
      <c r="Q92" s="8"/>
    </row>
    <row r="93" spans="1:17" ht="12.75" customHeight="1" hidden="1">
      <c r="A93" s="57" t="s">
        <v>143</v>
      </c>
      <c r="B93" s="58" t="s">
        <v>107</v>
      </c>
      <c r="C93" s="14"/>
      <c r="D93" s="14"/>
      <c r="E93" s="14"/>
      <c r="F93" s="11">
        <f t="shared" si="11"/>
        <v>0</v>
      </c>
      <c r="G93" s="14"/>
      <c r="H93" s="14"/>
      <c r="I93" s="14"/>
      <c r="J93" s="25"/>
      <c r="K93" s="14"/>
      <c r="L93" s="14"/>
      <c r="M93" s="14"/>
      <c r="N93" s="6"/>
      <c r="O93" s="30"/>
      <c r="P93" s="23"/>
      <c r="Q93" s="8"/>
    </row>
    <row r="94" spans="1:17" ht="12.75" customHeight="1">
      <c r="A94" s="57" t="s">
        <v>144</v>
      </c>
      <c r="B94" s="58" t="s">
        <v>146</v>
      </c>
      <c r="C94" s="14"/>
      <c r="D94" s="14"/>
      <c r="E94" s="14"/>
      <c r="F94" s="11">
        <f t="shared" si="11"/>
        <v>37405.2</v>
      </c>
      <c r="G94" s="14">
        <f>35055.2+2350</f>
        <v>37405.2</v>
      </c>
      <c r="H94" s="14"/>
      <c r="I94" s="14"/>
      <c r="J94" s="25">
        <f t="shared" si="13"/>
        <v>0</v>
      </c>
      <c r="K94" s="14"/>
      <c r="L94" s="14"/>
      <c r="M94" s="14"/>
      <c r="N94" s="6">
        <f t="shared" si="10"/>
        <v>0</v>
      </c>
      <c r="O94" s="30"/>
      <c r="P94" s="23"/>
      <c r="Q94" s="8"/>
    </row>
    <row r="95" spans="1:17" ht="12.75" customHeight="1">
      <c r="A95" s="31" t="s">
        <v>108</v>
      </c>
      <c r="B95" s="32"/>
      <c r="C95" s="5">
        <f>SUM(C8+C28+C33+C44+C56+C66+C74+C82+C90)</f>
        <v>1420207</v>
      </c>
      <c r="D95" s="5">
        <f>SUM(D8+D28+D33+D44+D56+D66+D74+D82+D90)</f>
        <v>-4889</v>
      </c>
      <c r="E95" s="6">
        <f aca="true" t="shared" si="16" ref="E95:M95">SUM(E8+E28+E33+E44+E53+E56+E66+E74+E82+E90)</f>
        <v>2212726.86</v>
      </c>
      <c r="F95" s="6">
        <f t="shared" si="16"/>
        <v>2281012.3</v>
      </c>
      <c r="G95" s="6">
        <f t="shared" si="16"/>
        <v>1165531.4</v>
      </c>
      <c r="H95" s="6">
        <f t="shared" si="16"/>
        <v>997982.4</v>
      </c>
      <c r="I95" s="6">
        <f t="shared" si="16"/>
        <v>117498.49999999999</v>
      </c>
      <c r="J95" s="55">
        <f t="shared" si="16"/>
        <v>2801876.7</v>
      </c>
      <c r="K95" s="6">
        <f t="shared" si="16"/>
        <v>1596367.8000000003</v>
      </c>
      <c r="L95" s="6">
        <f t="shared" si="16"/>
        <v>1131115</v>
      </c>
      <c r="M95" s="6">
        <f t="shared" si="16"/>
        <v>111753.9</v>
      </c>
      <c r="N95" s="6">
        <f t="shared" si="10"/>
        <v>136.9648042086211</v>
      </c>
      <c r="O95" s="33">
        <f>SUM(O8:O91)</f>
        <v>99.9417427487575</v>
      </c>
      <c r="P95" s="48">
        <f>SUM(P8+P28+P33+P44+P53+P56+P66+P74+P82+P90)</f>
        <v>1147400.5</v>
      </c>
      <c r="Q95" s="8">
        <f t="shared" si="14"/>
        <v>139.129083524018</v>
      </c>
    </row>
    <row r="96" spans="1:17" ht="13.5" customHeight="1" thickBot="1">
      <c r="A96" s="34" t="s">
        <v>109</v>
      </c>
      <c r="B96" s="35"/>
      <c r="C96" s="35"/>
      <c r="D96" s="35"/>
      <c r="E96" s="36">
        <v>0</v>
      </c>
      <c r="F96" s="37">
        <f>-43123.7-16350</f>
        <v>-59473.7</v>
      </c>
      <c r="G96" s="35"/>
      <c r="H96" s="35"/>
      <c r="I96" s="35"/>
      <c r="J96" s="56">
        <v>0</v>
      </c>
      <c r="K96" s="36">
        <v>0</v>
      </c>
      <c r="L96" s="36">
        <v>0</v>
      </c>
      <c r="M96" s="36">
        <v>0</v>
      </c>
      <c r="N96" s="6"/>
      <c r="O96" s="38"/>
      <c r="P96" s="51">
        <v>76369.2</v>
      </c>
      <c r="Q96" s="39"/>
    </row>
    <row r="97" ht="7.5" customHeight="1"/>
    <row r="98" spans="1:13" ht="12.75" customHeight="1">
      <c r="A98" s="63" t="s">
        <v>158</v>
      </c>
      <c r="B98" s="45"/>
      <c r="C98" s="45"/>
      <c r="D98" s="45"/>
      <c r="E98" s="45"/>
      <c r="F98" t="s">
        <v>160</v>
      </c>
      <c r="G98">
        <f>728.2</f>
        <v>728.2</v>
      </c>
      <c r="K98" s="62">
        <v>1188721.2</v>
      </c>
      <c r="L98">
        <v>436369.9</v>
      </c>
      <c r="M98" s="61">
        <v>113200</v>
      </c>
    </row>
    <row r="99" spans="1:12" ht="15" customHeight="1">
      <c r="A99" s="46"/>
      <c r="B99" s="45"/>
      <c r="C99" s="45"/>
      <c r="D99" s="45"/>
      <c r="E99" s="45"/>
      <c r="F99" t="s">
        <v>161</v>
      </c>
      <c r="G99" s="42">
        <f>2132.8</f>
        <v>2132.8</v>
      </c>
      <c r="L99" s="43">
        <f>L95+L98</f>
        <v>1567484.9</v>
      </c>
    </row>
    <row r="100" spans="1:12" ht="15" customHeight="1">
      <c r="A100" s="46"/>
      <c r="B100" s="45"/>
      <c r="C100" s="45"/>
      <c r="D100" s="45"/>
      <c r="E100" s="45"/>
      <c r="F100" t="s">
        <v>157</v>
      </c>
      <c r="G100" s="42">
        <v>99705</v>
      </c>
      <c r="J100" t="s">
        <v>119</v>
      </c>
      <c r="K100" s="45">
        <v>117624.075</v>
      </c>
      <c r="L100" s="43"/>
    </row>
    <row r="101" spans="1:12" ht="15" customHeight="1">
      <c r="A101" s="46"/>
      <c r="B101" s="45"/>
      <c r="C101" s="45"/>
      <c r="D101" s="45"/>
      <c r="E101" s="45"/>
      <c r="F101" t="s">
        <v>159</v>
      </c>
      <c r="G101" s="42">
        <v>19806.2</v>
      </c>
      <c r="K101" s="62">
        <f>K98+K100</f>
        <v>1306345.275</v>
      </c>
      <c r="L101" s="43"/>
    </row>
    <row r="102" spans="1:7" ht="15" customHeight="1">
      <c r="A102" s="47"/>
      <c r="B102" s="45"/>
      <c r="C102" s="45"/>
      <c r="D102" s="45"/>
      <c r="E102" s="45"/>
      <c r="G102" s="64">
        <f>G95+G98+G99+G100+G101</f>
        <v>1287903.5999999999</v>
      </c>
    </row>
    <row r="103" spans="1:5" ht="12.75" customHeight="1">
      <c r="A103" s="47"/>
      <c r="B103" s="45"/>
      <c r="C103" s="45"/>
      <c r="D103" s="45"/>
      <c r="E103" s="45"/>
    </row>
    <row r="104" spans="1:5" ht="12.75" customHeight="1">
      <c r="A104" s="44"/>
      <c r="B104" s="45"/>
      <c r="C104" s="45"/>
      <c r="D104" s="45"/>
      <c r="E104" s="45"/>
    </row>
    <row r="105" spans="1:5" ht="15">
      <c r="A105" s="44"/>
      <c r="B105" s="45"/>
      <c r="C105" s="45"/>
      <c r="D105" s="45"/>
      <c r="E105" s="45"/>
    </row>
    <row r="106" spans="1:5" ht="15">
      <c r="A106" s="44"/>
      <c r="B106" s="45"/>
      <c r="C106" s="45"/>
      <c r="D106" s="45"/>
      <c r="E106" s="45"/>
    </row>
    <row r="107" spans="1:5" ht="15">
      <c r="A107" s="47"/>
      <c r="B107" s="45"/>
      <c r="C107" s="45"/>
      <c r="D107" s="45"/>
      <c r="E107" s="45"/>
    </row>
    <row r="108" spans="1:5" ht="15">
      <c r="A108" s="44"/>
      <c r="B108" s="45"/>
      <c r="C108" s="45"/>
      <c r="D108" s="45"/>
      <c r="E108" s="45"/>
    </row>
    <row r="109" spans="1:5" ht="15">
      <c r="A109" s="44"/>
      <c r="B109" s="45"/>
      <c r="C109" s="45"/>
      <c r="D109" s="45"/>
      <c r="E109" s="45"/>
    </row>
    <row r="110" spans="1:5" ht="12.75">
      <c r="A110" s="45"/>
      <c r="B110" s="45"/>
      <c r="C110" s="45"/>
      <c r="D110" s="45"/>
      <c r="E110" s="45"/>
    </row>
    <row r="111" spans="1:5" ht="15">
      <c r="A111" s="44"/>
      <c r="B111" s="45"/>
      <c r="C111" s="45"/>
      <c r="D111" s="45"/>
      <c r="E111" s="45"/>
    </row>
    <row r="112" spans="1:5" ht="12.75">
      <c r="A112" s="45"/>
      <c r="B112" s="45"/>
      <c r="C112" s="45"/>
      <c r="D112" s="45"/>
      <c r="E112" s="45"/>
    </row>
    <row r="113" spans="1:5" ht="12.75">
      <c r="A113" s="45"/>
      <c r="B113" s="45"/>
      <c r="C113" s="45"/>
      <c r="D113" s="45"/>
      <c r="E113" s="45"/>
    </row>
    <row r="114" spans="1:5" ht="12.75">
      <c r="A114" s="45"/>
      <c r="B114" s="45"/>
      <c r="C114" s="45"/>
      <c r="D114" s="45"/>
      <c r="E114" s="45"/>
    </row>
    <row r="115" spans="1:5" ht="12.75">
      <c r="A115" s="45"/>
      <c r="B115" s="45"/>
      <c r="C115" s="45"/>
      <c r="D115" s="45"/>
      <c r="E115" s="45"/>
    </row>
    <row r="116" spans="1:5" ht="12.75">
      <c r="A116" s="45"/>
      <c r="B116" s="45"/>
      <c r="C116" s="45"/>
      <c r="D116" s="45"/>
      <c r="E116" s="45"/>
    </row>
    <row r="117" spans="1:5" ht="12.75">
      <c r="A117" s="45"/>
      <c r="B117" s="45"/>
      <c r="C117" s="45"/>
      <c r="D117" s="45"/>
      <c r="E117" s="45"/>
    </row>
    <row r="118" spans="1:5" ht="12.75">
      <c r="A118" s="45"/>
      <c r="B118" s="45"/>
      <c r="C118" s="45"/>
      <c r="D118" s="45"/>
      <c r="E118" s="45"/>
    </row>
    <row r="119" spans="1:5" ht="12.75">
      <c r="A119" s="45"/>
      <c r="B119" s="45"/>
      <c r="C119" s="45"/>
      <c r="D119" s="45"/>
      <c r="E119" s="45"/>
    </row>
    <row r="120" spans="1:5" ht="12.75">
      <c r="A120" s="45"/>
      <c r="B120" s="45"/>
      <c r="C120" s="45"/>
      <c r="D120" s="45"/>
      <c r="E120" s="45"/>
    </row>
    <row r="121" spans="1:5" ht="12.75">
      <c r="A121" s="45"/>
      <c r="B121" s="45"/>
      <c r="C121" s="45"/>
      <c r="D121" s="45"/>
      <c r="E121" s="45"/>
    </row>
    <row r="122" spans="1:5" ht="12.75">
      <c r="A122" s="45"/>
      <c r="B122" s="45"/>
      <c r="C122" s="45"/>
      <c r="D122" s="45"/>
      <c r="E122" s="45"/>
    </row>
    <row r="123" spans="1:5" ht="12.75">
      <c r="A123" s="45"/>
      <c r="B123" s="45"/>
      <c r="C123" s="45"/>
      <c r="D123" s="45"/>
      <c r="E123" s="45"/>
    </row>
    <row r="124" spans="1:5" ht="12.75">
      <c r="A124" s="45"/>
      <c r="B124" s="45"/>
      <c r="C124" s="45"/>
      <c r="D124" s="45"/>
      <c r="E124" s="45"/>
    </row>
    <row r="125" spans="1:5" ht="12.75">
      <c r="A125" s="45"/>
      <c r="B125" s="45"/>
      <c r="C125" s="45"/>
      <c r="D125" s="45"/>
      <c r="E125" s="45"/>
    </row>
    <row r="126" spans="1:5" ht="12.75">
      <c r="A126" s="45"/>
      <c r="B126" s="45"/>
      <c r="C126" s="45"/>
      <c r="D126" s="45"/>
      <c r="E126" s="45"/>
    </row>
    <row r="127" spans="1:5" ht="12.75">
      <c r="A127" s="45"/>
      <c r="B127" s="45"/>
      <c r="C127" s="45"/>
      <c r="D127" s="45"/>
      <c r="E127" s="45"/>
    </row>
    <row r="128" spans="1:5" ht="12.75">
      <c r="A128" s="45"/>
      <c r="B128" s="45"/>
      <c r="C128" s="45"/>
      <c r="D128" s="45"/>
      <c r="E128" s="45"/>
    </row>
    <row r="129" spans="1:5" ht="12.75">
      <c r="A129" s="45"/>
      <c r="B129" s="45"/>
      <c r="C129" s="45"/>
      <c r="D129" s="45"/>
      <c r="E129" s="45"/>
    </row>
    <row r="130" spans="1:5" ht="12.75">
      <c r="A130" s="45"/>
      <c r="B130" s="45"/>
      <c r="C130" s="45"/>
      <c r="D130" s="45"/>
      <c r="E130" s="45"/>
    </row>
    <row r="131" spans="1:5" ht="12.75">
      <c r="A131" s="45"/>
      <c r="B131" s="45"/>
      <c r="C131" s="45"/>
      <c r="D131" s="45"/>
      <c r="E131" s="45"/>
    </row>
    <row r="132" spans="1:5" ht="12.75">
      <c r="A132" s="45"/>
      <c r="B132" s="45"/>
      <c r="C132" s="45"/>
      <c r="D132" s="45"/>
      <c r="E132" s="45"/>
    </row>
    <row r="133" spans="1:5" ht="12.75">
      <c r="A133" s="45"/>
      <c r="B133" s="45"/>
      <c r="C133" s="45"/>
      <c r="D133" s="45"/>
      <c r="E133" s="45"/>
    </row>
    <row r="134" spans="1:5" ht="12.75">
      <c r="A134" s="45"/>
      <c r="B134" s="45"/>
      <c r="C134" s="45"/>
      <c r="D134" s="45"/>
      <c r="E134" s="45"/>
    </row>
    <row r="135" spans="1:5" ht="12.75">
      <c r="A135" s="45"/>
      <c r="B135" s="45"/>
      <c r="C135" s="45"/>
      <c r="D135" s="45"/>
      <c r="E135" s="45"/>
    </row>
    <row r="136" spans="1:5" ht="12.75">
      <c r="A136" s="45"/>
      <c r="B136" s="45"/>
      <c r="C136" s="45"/>
      <c r="D136" s="45"/>
      <c r="E136" s="45"/>
    </row>
    <row r="137" spans="1:5" ht="12.75">
      <c r="A137" s="45"/>
      <c r="B137" s="45"/>
      <c r="C137" s="45"/>
      <c r="D137" s="45"/>
      <c r="E137" s="45"/>
    </row>
    <row r="138" spans="1:5" ht="12.75">
      <c r="A138" s="45"/>
      <c r="B138" s="45"/>
      <c r="C138" s="45"/>
      <c r="D138" s="45"/>
      <c r="E138" s="45"/>
    </row>
    <row r="139" spans="1:5" ht="12.75">
      <c r="A139" s="45"/>
      <c r="B139" s="45"/>
      <c r="C139" s="45"/>
      <c r="D139" s="45"/>
      <c r="E139" s="45"/>
    </row>
    <row r="140" spans="1:5" ht="12.75">
      <c r="A140" s="45"/>
      <c r="B140" s="45"/>
      <c r="C140" s="45"/>
      <c r="D140" s="45"/>
      <c r="E140" s="45"/>
    </row>
    <row r="141" spans="1:5" ht="12.75">
      <c r="A141" s="45"/>
      <c r="B141" s="45"/>
      <c r="C141" s="45"/>
      <c r="D141" s="45"/>
      <c r="E141" s="45"/>
    </row>
    <row r="142" spans="1:5" ht="12.75">
      <c r="A142" s="45"/>
      <c r="B142" s="45"/>
      <c r="C142" s="45"/>
      <c r="D142" s="45"/>
      <c r="E142" s="45"/>
    </row>
    <row r="143" spans="1:5" ht="12.75">
      <c r="A143" s="45"/>
      <c r="B143" s="45"/>
      <c r="C143" s="45"/>
      <c r="D143" s="45"/>
      <c r="E143" s="45"/>
    </row>
    <row r="144" spans="1:5" ht="12.75">
      <c r="A144" s="45"/>
      <c r="B144" s="45"/>
      <c r="C144" s="45"/>
      <c r="D144" s="45"/>
      <c r="E144" s="45"/>
    </row>
    <row r="145" spans="1:5" ht="12.75">
      <c r="A145" s="45"/>
      <c r="B145" s="45"/>
      <c r="C145" s="45"/>
      <c r="D145" s="45"/>
      <c r="E145" s="45"/>
    </row>
    <row r="146" spans="1:5" ht="12.75">
      <c r="A146" s="45"/>
      <c r="B146" s="45"/>
      <c r="C146" s="45"/>
      <c r="D146" s="45"/>
      <c r="E146" s="45"/>
    </row>
    <row r="147" spans="1:5" ht="12.75">
      <c r="A147" s="45"/>
      <c r="B147" s="45"/>
      <c r="C147" s="45"/>
      <c r="D147" s="45"/>
      <c r="E147" s="45"/>
    </row>
    <row r="148" spans="1:5" ht="12.75">
      <c r="A148" s="45"/>
      <c r="B148" s="45"/>
      <c r="C148" s="45"/>
      <c r="D148" s="45"/>
      <c r="E148" s="45"/>
    </row>
    <row r="149" spans="1:5" ht="12.75">
      <c r="A149" s="45"/>
      <c r="B149" s="45"/>
      <c r="C149" s="45"/>
      <c r="D149" s="45"/>
      <c r="E149" s="45"/>
    </row>
    <row r="150" spans="1:5" ht="12.75">
      <c r="A150" s="45"/>
      <c r="B150" s="45"/>
      <c r="C150" s="45"/>
      <c r="D150" s="45"/>
      <c r="E150" s="45"/>
    </row>
    <row r="151" spans="1:5" ht="12.75">
      <c r="A151" s="45"/>
      <c r="B151" s="45"/>
      <c r="C151" s="45"/>
      <c r="D151" s="45"/>
      <c r="E151" s="45"/>
    </row>
    <row r="152" spans="1:5" ht="12.75">
      <c r="A152" s="45"/>
      <c r="B152" s="45"/>
      <c r="C152" s="45"/>
      <c r="D152" s="45"/>
      <c r="E152" s="45"/>
    </row>
    <row r="153" spans="1:5" ht="12.75">
      <c r="A153" s="45"/>
      <c r="B153" s="45"/>
      <c r="C153" s="45"/>
      <c r="D153" s="45"/>
      <c r="E153" s="45"/>
    </row>
    <row r="154" spans="1:5" ht="12.75">
      <c r="A154" s="45"/>
      <c r="B154" s="45"/>
      <c r="C154" s="45"/>
      <c r="D154" s="45"/>
      <c r="E154" s="45"/>
    </row>
    <row r="155" spans="1:5" ht="12.75">
      <c r="A155" s="45"/>
      <c r="B155" s="45"/>
      <c r="C155" s="45"/>
      <c r="D155" s="45"/>
      <c r="E155" s="45"/>
    </row>
    <row r="156" spans="1:5" ht="12.75">
      <c r="A156" s="45"/>
      <c r="B156" s="45"/>
      <c r="C156" s="45"/>
      <c r="D156" s="45"/>
      <c r="E156" s="45"/>
    </row>
    <row r="157" spans="1:5" ht="12.75">
      <c r="A157" s="45"/>
      <c r="B157" s="45"/>
      <c r="C157" s="45"/>
      <c r="D157" s="45"/>
      <c r="E157" s="45"/>
    </row>
    <row r="158" spans="1:5" ht="12.75">
      <c r="A158" s="45"/>
      <c r="B158" s="45"/>
      <c r="C158" s="45"/>
      <c r="D158" s="45"/>
      <c r="E158" s="45"/>
    </row>
    <row r="159" spans="1:5" ht="12.75">
      <c r="A159" s="45"/>
      <c r="B159" s="45"/>
      <c r="C159" s="45"/>
      <c r="D159" s="45"/>
      <c r="E159" s="45"/>
    </row>
    <row r="160" spans="1:5" ht="12.75">
      <c r="A160" s="45"/>
      <c r="B160" s="45"/>
      <c r="C160" s="45"/>
      <c r="D160" s="45"/>
      <c r="E160" s="45"/>
    </row>
    <row r="161" spans="1:5" ht="12.75">
      <c r="A161" s="45"/>
      <c r="B161" s="45"/>
      <c r="C161" s="45"/>
      <c r="D161" s="45"/>
      <c r="E161" s="45"/>
    </row>
    <row r="162" spans="1:5" ht="12.75">
      <c r="A162" s="45"/>
      <c r="B162" s="45"/>
      <c r="C162" s="45"/>
      <c r="D162" s="45"/>
      <c r="E162" s="45"/>
    </row>
    <row r="163" spans="1:5" ht="12.75">
      <c r="A163" s="45"/>
      <c r="B163" s="45"/>
      <c r="C163" s="45"/>
      <c r="D163" s="45"/>
      <c r="E163" s="45"/>
    </row>
    <row r="164" spans="1:5" ht="12.75">
      <c r="A164" s="45"/>
      <c r="B164" s="45"/>
      <c r="C164" s="45"/>
      <c r="D164" s="45"/>
      <c r="E164" s="45"/>
    </row>
    <row r="165" spans="1:5" ht="12.75">
      <c r="A165" s="45"/>
      <c r="B165" s="45"/>
      <c r="C165" s="45"/>
      <c r="D165" s="45"/>
      <c r="E165" s="45"/>
    </row>
    <row r="166" spans="1:5" ht="12.75">
      <c r="A166" s="45"/>
      <c r="B166" s="45"/>
      <c r="C166" s="45"/>
      <c r="D166" s="45"/>
      <c r="E166" s="45"/>
    </row>
    <row r="167" spans="1:5" ht="12.75">
      <c r="A167" s="45"/>
      <c r="B167" s="45"/>
      <c r="C167" s="45"/>
      <c r="D167" s="45"/>
      <c r="E167" s="45"/>
    </row>
    <row r="168" spans="1:5" ht="12.75">
      <c r="A168" s="45"/>
      <c r="B168" s="45"/>
      <c r="C168" s="45"/>
      <c r="D168" s="45"/>
      <c r="E168" s="45"/>
    </row>
    <row r="169" spans="1:5" ht="12.75">
      <c r="A169" s="45"/>
      <c r="B169" s="45"/>
      <c r="C169" s="45"/>
      <c r="D169" s="45"/>
      <c r="E169" s="45"/>
    </row>
    <row r="170" spans="1:5" ht="12.75">
      <c r="A170" s="45"/>
      <c r="B170" s="45"/>
      <c r="C170" s="45"/>
      <c r="D170" s="45"/>
      <c r="E170" s="45"/>
    </row>
    <row r="171" spans="1:5" ht="12.75">
      <c r="A171" s="45"/>
      <c r="B171" s="45"/>
      <c r="C171" s="45"/>
      <c r="D171" s="45"/>
      <c r="E171" s="45"/>
    </row>
    <row r="172" spans="1:5" ht="12.75">
      <c r="A172" s="45"/>
      <c r="B172" s="45"/>
      <c r="C172" s="45"/>
      <c r="D172" s="45"/>
      <c r="E172" s="45"/>
    </row>
    <row r="173" spans="1:5" ht="12.75">
      <c r="A173" s="45"/>
      <c r="B173" s="45"/>
      <c r="C173" s="45"/>
      <c r="D173" s="45"/>
      <c r="E173" s="45"/>
    </row>
    <row r="174" spans="1:5" ht="12.75">
      <c r="A174" s="45"/>
      <c r="B174" s="45"/>
      <c r="C174" s="45"/>
      <c r="D174" s="45"/>
      <c r="E174" s="45"/>
    </row>
    <row r="175" spans="1:5" ht="12.75">
      <c r="A175" s="45"/>
      <c r="B175" s="45"/>
      <c r="C175" s="45"/>
      <c r="D175" s="45"/>
      <c r="E175" s="45"/>
    </row>
    <row r="176" spans="1:5" ht="12.75">
      <c r="A176" s="45"/>
      <c r="B176" s="45"/>
      <c r="C176" s="45"/>
      <c r="D176" s="45"/>
      <c r="E176" s="45"/>
    </row>
    <row r="177" spans="1:5" ht="12.75">
      <c r="A177" s="45"/>
      <c r="B177" s="45"/>
      <c r="C177" s="45"/>
      <c r="D177" s="45"/>
      <c r="E177" s="45"/>
    </row>
    <row r="178" spans="1:5" ht="12.75">
      <c r="A178" s="45"/>
      <c r="B178" s="45"/>
      <c r="C178" s="45"/>
      <c r="D178" s="45"/>
      <c r="E178" s="45"/>
    </row>
  </sheetData>
  <mergeCells count="20">
    <mergeCell ref="A1:P1"/>
    <mergeCell ref="A2:P2"/>
    <mergeCell ref="A3:P3"/>
    <mergeCell ref="A4:A7"/>
    <mergeCell ref="B4:B7"/>
    <mergeCell ref="C4:E7"/>
    <mergeCell ref="F4:F7"/>
    <mergeCell ref="K4:M4"/>
    <mergeCell ref="P4:P7"/>
    <mergeCell ref="K5:K6"/>
    <mergeCell ref="Q4:Q6"/>
    <mergeCell ref="G4:I4"/>
    <mergeCell ref="G5:G6"/>
    <mergeCell ref="H5:H6"/>
    <mergeCell ref="I5:I6"/>
    <mergeCell ref="O4:O6"/>
    <mergeCell ref="L5:L6"/>
    <mergeCell ref="M5:M6"/>
    <mergeCell ref="J4:J6"/>
    <mergeCell ref="N4:N6"/>
  </mergeCells>
  <printOptions/>
  <pageMargins left="0" right="0" top="0" bottom="0" header="0.5118110236220472" footer="0.5118110236220472"/>
  <pageSetup horizontalDpi="600" verticalDpi="600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7"/>
  <sheetViews>
    <sheetView tabSelected="1" workbookViewId="0" topLeftCell="A1">
      <selection activeCell="AE7" sqref="AE7"/>
    </sheetView>
  </sheetViews>
  <sheetFormatPr defaultColWidth="9.00390625" defaultRowHeight="12.75"/>
  <cols>
    <col min="1" max="1" width="52.125" style="0" customWidth="1"/>
    <col min="2" max="2" width="11.875" style="74" customWidth="1"/>
    <col min="3" max="3" width="8.00390625" style="0" hidden="1" customWidth="1"/>
    <col min="4" max="4" width="6.75390625" style="0" hidden="1" customWidth="1"/>
    <col min="5" max="5" width="10.7539062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45" hidden="1" customWidth="1"/>
    <col min="11" max="11" width="0.2421875" style="0" hidden="1" customWidth="1"/>
    <col min="12" max="12" width="0.12890625" style="45" hidden="1" customWidth="1"/>
    <col min="13" max="13" width="10.75390625" style="0" hidden="1" customWidth="1"/>
    <col min="14" max="14" width="11.875" style="0" hidden="1" customWidth="1"/>
    <col min="15" max="15" width="13.25390625" style="69" hidden="1" customWidth="1"/>
    <col min="16" max="16" width="11.625" style="45" hidden="1" customWidth="1"/>
    <col min="17" max="17" width="10.875" style="45" hidden="1" customWidth="1"/>
    <col min="18" max="18" width="11.875" style="45" hidden="1" customWidth="1"/>
    <col min="19" max="19" width="9.25390625" style="45" hidden="1" customWidth="1"/>
    <col min="20" max="20" width="10.125" style="45" hidden="1" customWidth="1"/>
    <col min="21" max="21" width="11.00390625" style="45" hidden="1" customWidth="1"/>
    <col min="22" max="22" width="0.12890625" style="45" hidden="1" customWidth="1"/>
    <col min="23" max="23" width="14.125" style="99" customWidth="1"/>
    <col min="24" max="24" width="11.00390625" style="97" hidden="1" customWidth="1"/>
    <col min="25" max="25" width="10.625" style="69" hidden="1" customWidth="1"/>
    <col min="26" max="26" width="2.75390625" style="98" hidden="1" customWidth="1"/>
    <col min="27" max="27" width="13.625" style="98" customWidth="1"/>
    <col min="28" max="28" width="10.25390625" style="103" customWidth="1"/>
  </cols>
  <sheetData>
    <row r="1" spans="2:28" ht="14.25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166" t="s">
        <v>202</v>
      </c>
      <c r="X1" s="167"/>
      <c r="Y1" s="167"/>
      <c r="Z1" s="167"/>
      <c r="AA1" s="167"/>
      <c r="AB1" s="167"/>
    </row>
    <row r="2" spans="2:28" ht="1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 t="s">
        <v>180</v>
      </c>
      <c r="R2" s="83" t="s">
        <v>180</v>
      </c>
      <c r="S2" s="84"/>
      <c r="T2" s="85"/>
      <c r="U2" s="86"/>
      <c r="V2" s="86"/>
      <c r="W2" s="168" t="s">
        <v>203</v>
      </c>
      <c r="X2" s="167"/>
      <c r="Y2" s="167"/>
      <c r="Z2" s="167"/>
      <c r="AA2" s="167"/>
      <c r="AB2" s="167"/>
    </row>
    <row r="3" spans="1:28" ht="15" customHeight="1">
      <c r="A3" s="169" t="s">
        <v>197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</row>
    <row r="4" spans="2:27" ht="1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3" t="s">
        <v>181</v>
      </c>
      <c r="R4" s="83" t="s">
        <v>181</v>
      </c>
      <c r="S4" s="84"/>
      <c r="T4" s="85"/>
      <c r="U4" s="86"/>
      <c r="V4" s="86"/>
      <c r="W4" s="188" t="s">
        <v>205</v>
      </c>
      <c r="X4" s="127"/>
      <c r="Y4" s="85"/>
      <c r="Z4" s="86"/>
      <c r="AA4" s="82"/>
    </row>
    <row r="5" ht="9" customHeight="1" hidden="1"/>
    <row r="6" ht="12.75" hidden="1"/>
    <row r="7" spans="1:28" ht="51" customHeight="1" thickBot="1">
      <c r="A7" s="170" t="s">
        <v>200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</row>
    <row r="8" spans="1:25" ht="0.75" customHeight="1" hidden="1" thickBot="1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9" spans="1:28" ht="19.5" customHeight="1">
      <c r="A9" s="184" t="s">
        <v>1</v>
      </c>
      <c r="B9" s="186" t="s">
        <v>183</v>
      </c>
      <c r="C9" s="172" t="s">
        <v>3</v>
      </c>
      <c r="D9" s="172"/>
      <c r="E9" s="172"/>
      <c r="F9" s="172" t="s">
        <v>166</v>
      </c>
      <c r="G9" s="172" t="s">
        <v>118</v>
      </c>
      <c r="H9" s="172"/>
      <c r="I9" s="172"/>
      <c r="J9" s="172" t="s">
        <v>167</v>
      </c>
      <c r="K9" s="176" t="s">
        <v>115</v>
      </c>
      <c r="L9" s="172" t="s">
        <v>118</v>
      </c>
      <c r="M9" s="172"/>
      <c r="N9" s="172"/>
      <c r="O9" s="178" t="s">
        <v>172</v>
      </c>
      <c r="P9" s="172" t="s">
        <v>173</v>
      </c>
      <c r="Q9" s="172" t="s">
        <v>171</v>
      </c>
      <c r="R9" s="172" t="s">
        <v>175</v>
      </c>
      <c r="S9" s="172" t="s">
        <v>178</v>
      </c>
      <c r="T9" s="172" t="s">
        <v>177</v>
      </c>
      <c r="U9" s="172" t="s">
        <v>174</v>
      </c>
      <c r="V9" s="172" t="s">
        <v>176</v>
      </c>
      <c r="W9" s="174" t="s">
        <v>198</v>
      </c>
      <c r="X9" s="171" t="s">
        <v>5</v>
      </c>
      <c r="Y9" s="164" t="s">
        <v>6</v>
      </c>
      <c r="Z9" s="171" t="s">
        <v>7</v>
      </c>
      <c r="AA9" s="180" t="s">
        <v>201</v>
      </c>
      <c r="AB9" s="182" t="s">
        <v>199</v>
      </c>
    </row>
    <row r="10" spans="1:28" ht="38.25" customHeight="1">
      <c r="A10" s="185"/>
      <c r="B10" s="187"/>
      <c r="C10" s="173"/>
      <c r="D10" s="173"/>
      <c r="E10" s="173"/>
      <c r="F10" s="173"/>
      <c r="G10" s="87" t="s">
        <v>111</v>
      </c>
      <c r="H10" s="87" t="s">
        <v>112</v>
      </c>
      <c r="I10" s="87" t="s">
        <v>113</v>
      </c>
      <c r="J10" s="173"/>
      <c r="K10" s="177"/>
      <c r="L10" s="87" t="s">
        <v>168</v>
      </c>
      <c r="M10" s="87" t="s">
        <v>112</v>
      </c>
      <c r="N10" s="87" t="s">
        <v>113</v>
      </c>
      <c r="O10" s="179"/>
      <c r="P10" s="173"/>
      <c r="Q10" s="173"/>
      <c r="R10" s="173"/>
      <c r="S10" s="173"/>
      <c r="T10" s="173"/>
      <c r="U10" s="173"/>
      <c r="V10" s="173"/>
      <c r="W10" s="175"/>
      <c r="X10" s="139"/>
      <c r="Y10" s="165"/>
      <c r="Z10" s="139"/>
      <c r="AA10" s="181"/>
      <c r="AB10" s="183"/>
    </row>
    <row r="11" spans="1:28" ht="0.75" customHeight="1" hidden="1">
      <c r="A11" s="185"/>
      <c r="B11" s="187"/>
      <c r="C11" s="173"/>
      <c r="D11" s="173"/>
      <c r="E11" s="173"/>
      <c r="F11" s="173"/>
      <c r="G11" s="106"/>
      <c r="H11" s="106"/>
      <c r="I11" s="106"/>
      <c r="J11" s="107"/>
      <c r="K11" s="108"/>
      <c r="L11" s="107"/>
      <c r="M11" s="106"/>
      <c r="N11" s="106"/>
      <c r="O11" s="105"/>
      <c r="P11" s="107"/>
      <c r="Q11" s="107"/>
      <c r="R11" s="107"/>
      <c r="S11" s="107"/>
      <c r="T11" s="107"/>
      <c r="U11" s="107"/>
      <c r="V11" s="107"/>
      <c r="W11" s="94"/>
      <c r="X11" s="100"/>
      <c r="Y11" s="165"/>
      <c r="Z11" s="95"/>
      <c r="AA11" s="95"/>
      <c r="AB11" s="117"/>
    </row>
    <row r="12" spans="1:28" ht="16.5" customHeight="1">
      <c r="A12" s="3" t="s">
        <v>8</v>
      </c>
      <c r="B12" s="70" t="s">
        <v>9</v>
      </c>
      <c r="C12" s="5">
        <f>SUM(C14:C18)</f>
        <v>72573</v>
      </c>
      <c r="D12" s="5">
        <f>SUM(D14:D18)</f>
        <v>-4729</v>
      </c>
      <c r="E12" s="5" t="e">
        <f aca="true" t="shared" si="0" ref="E12:N12">SUM(E13:E18)</f>
        <v>#REF!</v>
      </c>
      <c r="F12" s="5" t="e">
        <f t="shared" si="0"/>
        <v>#REF!</v>
      </c>
      <c r="G12" s="5" t="e">
        <f t="shared" si="0"/>
        <v>#REF!</v>
      </c>
      <c r="H12" s="5" t="e">
        <f t="shared" si="0"/>
        <v>#REF!</v>
      </c>
      <c r="I12" s="5" t="e">
        <f t="shared" si="0"/>
        <v>#REF!</v>
      </c>
      <c r="J12" s="6" t="e">
        <f t="shared" si="0"/>
        <v>#REF!</v>
      </c>
      <c r="K12" s="54" t="e">
        <f t="shared" si="0"/>
        <v>#REF!</v>
      </c>
      <c r="L12" s="5" t="e">
        <f t="shared" si="0"/>
        <v>#REF!</v>
      </c>
      <c r="M12" s="5" t="e">
        <f t="shared" si="0"/>
        <v>#REF!</v>
      </c>
      <c r="N12" s="5" t="e">
        <f t="shared" si="0"/>
        <v>#REF!</v>
      </c>
      <c r="O12" s="77" t="e">
        <f aca="true" t="shared" si="1" ref="O12:O33">L12+M12+N12</f>
        <v>#REF!</v>
      </c>
      <c r="P12" s="5" t="e">
        <f aca="true" t="shared" si="2" ref="P12:U12">SUM(P13:P18)</f>
        <v>#REF!</v>
      </c>
      <c r="Q12" s="5" t="e">
        <f t="shared" si="2"/>
        <v>#REF!</v>
      </c>
      <c r="R12" s="5" t="e">
        <f t="shared" si="2"/>
        <v>#REF!</v>
      </c>
      <c r="S12" s="5" t="e">
        <f t="shared" si="2"/>
        <v>#REF!</v>
      </c>
      <c r="T12" s="5" t="e">
        <f t="shared" si="2"/>
        <v>#REF!</v>
      </c>
      <c r="U12" s="5" t="e">
        <f t="shared" si="2"/>
        <v>#REF!</v>
      </c>
      <c r="V12" s="5" t="e">
        <f>P12+Q12+R12+U12+S12+T12</f>
        <v>#REF!</v>
      </c>
      <c r="W12" s="79">
        <f>W13+W14+W15+W17+W18</f>
        <v>11823.73</v>
      </c>
      <c r="X12" s="79">
        <f>SUM(X13:X18)</f>
        <v>0</v>
      </c>
      <c r="Y12" s="79" t="e">
        <f>SUM(Y13:Y18)</f>
        <v>#REF!</v>
      </c>
      <c r="Z12" s="79" t="e">
        <f>SUM(Z13:Z18)</f>
        <v>#REF!</v>
      </c>
      <c r="AA12" s="79">
        <f>SUM(AA13:AA18)</f>
        <v>10476.980000000001</v>
      </c>
      <c r="AB12" s="135">
        <f>AA12/W12*100</f>
        <v>88.60977035165723</v>
      </c>
    </row>
    <row r="13" spans="1:31" ht="17.25" customHeight="1">
      <c r="A13" s="18" t="s">
        <v>169</v>
      </c>
      <c r="B13" s="71" t="s">
        <v>11</v>
      </c>
      <c r="C13" s="14">
        <v>2675</v>
      </c>
      <c r="D13" s="14"/>
      <c r="E13" s="11">
        <v>2543</v>
      </c>
      <c r="F13" s="11">
        <f aca="true" t="shared" si="3" ref="F13:F39">G13+H13+I13</f>
        <v>2593</v>
      </c>
      <c r="G13" s="11">
        <v>2593</v>
      </c>
      <c r="H13" s="11"/>
      <c r="I13" s="11"/>
      <c r="J13" s="11">
        <f>2152+1349</f>
        <v>3501</v>
      </c>
      <c r="K13" s="25">
        <f aca="true" t="shared" si="4" ref="K13:K18">L13+M13+N13</f>
        <v>3528</v>
      </c>
      <c r="L13" s="11">
        <f>2913+224+391</f>
        <v>3528</v>
      </c>
      <c r="M13" s="11"/>
      <c r="N13" s="11"/>
      <c r="O13" s="15">
        <f t="shared" si="1"/>
        <v>3528</v>
      </c>
      <c r="P13" s="11"/>
      <c r="Q13" s="11"/>
      <c r="R13" s="11"/>
      <c r="S13" s="11"/>
      <c r="T13" s="11"/>
      <c r="U13" s="11"/>
      <c r="V13" s="5">
        <f aca="true" t="shared" si="5" ref="V13:V39">P13+Q13+R13+U13+S13+T13</f>
        <v>0</v>
      </c>
      <c r="W13" s="88">
        <v>607</v>
      </c>
      <c r="X13" s="89"/>
      <c r="Y13" s="23">
        <v>942.6</v>
      </c>
      <c r="Z13" s="6">
        <f>L13/Y13*100</f>
        <v>374.28389560789304</v>
      </c>
      <c r="AA13" s="95">
        <v>521.14</v>
      </c>
      <c r="AB13" s="132">
        <f>AA13/W13*100</f>
        <v>85.85502471169687</v>
      </c>
      <c r="AE13" s="17"/>
    </row>
    <row r="14" spans="1:33" ht="15">
      <c r="A14" s="18" t="s">
        <v>12</v>
      </c>
      <c r="B14" s="71" t="s">
        <v>13</v>
      </c>
      <c r="C14" s="14">
        <v>45198</v>
      </c>
      <c r="D14" s="14">
        <f>-834-3694</f>
        <v>-4528</v>
      </c>
      <c r="E14" s="11">
        <v>39830</v>
      </c>
      <c r="F14" s="11">
        <f t="shared" si="3"/>
        <v>47382.1</v>
      </c>
      <c r="G14" s="11">
        <f>42752.1+2800</f>
        <v>45552.1</v>
      </c>
      <c r="H14" s="11"/>
      <c r="I14" s="11">
        <v>1830</v>
      </c>
      <c r="J14" s="11">
        <f>1166+45418</f>
        <v>46584</v>
      </c>
      <c r="K14" s="25">
        <f t="shared" si="4"/>
        <v>49400</v>
      </c>
      <c r="L14" s="11">
        <f>45100+4300</f>
        <v>49400</v>
      </c>
      <c r="M14" s="11"/>
      <c r="N14" s="11"/>
      <c r="O14" s="15">
        <f t="shared" si="1"/>
        <v>49400</v>
      </c>
      <c r="P14" s="11"/>
      <c r="Q14" s="11"/>
      <c r="R14" s="11">
        <v>550</v>
      </c>
      <c r="S14" s="11"/>
      <c r="T14" s="11"/>
      <c r="U14" s="11"/>
      <c r="V14" s="5">
        <f t="shared" si="5"/>
        <v>550</v>
      </c>
      <c r="W14" s="88">
        <v>10028.69</v>
      </c>
      <c r="X14" s="89"/>
      <c r="Y14" s="23">
        <v>26630.9</v>
      </c>
      <c r="Z14" s="6">
        <f>L14/Y14*100</f>
        <v>185.49880026585657</v>
      </c>
      <c r="AA14" s="95">
        <v>8950.02</v>
      </c>
      <c r="AB14" s="132">
        <f>AA14/W14*100</f>
        <v>89.24415850923701</v>
      </c>
      <c r="AG14" s="45"/>
    </row>
    <row r="15" spans="1:28" ht="15.75" customHeight="1">
      <c r="A15" s="18" t="s">
        <v>19</v>
      </c>
      <c r="B15" s="71" t="s">
        <v>20</v>
      </c>
      <c r="C15" s="14"/>
      <c r="D15" s="14"/>
      <c r="E15" s="11">
        <v>186</v>
      </c>
      <c r="F15" s="11">
        <f t="shared" si="3"/>
        <v>186</v>
      </c>
      <c r="G15" s="11"/>
      <c r="H15" s="11">
        <v>186</v>
      </c>
      <c r="I15" s="11"/>
      <c r="J15" s="11"/>
      <c r="K15" s="25">
        <f t="shared" si="4"/>
        <v>361.1</v>
      </c>
      <c r="L15" s="11"/>
      <c r="M15" s="11">
        <v>361.1</v>
      </c>
      <c r="N15" s="11"/>
      <c r="O15" s="15">
        <f t="shared" si="1"/>
        <v>361.1</v>
      </c>
      <c r="P15" s="11"/>
      <c r="Q15" s="11"/>
      <c r="R15" s="11"/>
      <c r="S15" s="11"/>
      <c r="T15" s="11"/>
      <c r="U15" s="11"/>
      <c r="V15" s="5">
        <f t="shared" si="5"/>
        <v>0</v>
      </c>
      <c r="W15" s="88">
        <v>528.04</v>
      </c>
      <c r="X15" s="89"/>
      <c r="Y15" s="23" t="s">
        <v>16</v>
      </c>
      <c r="Z15" s="6"/>
      <c r="AA15" s="130">
        <v>528.03</v>
      </c>
      <c r="AB15" s="132">
        <f>AA15/W15*100</f>
        <v>99.99810620407546</v>
      </c>
    </row>
    <row r="16" spans="1:28" ht="12" customHeight="1" hidden="1">
      <c r="A16" s="66" t="s">
        <v>19</v>
      </c>
      <c r="B16" s="72" t="s">
        <v>20</v>
      </c>
      <c r="C16" s="14"/>
      <c r="D16" s="14"/>
      <c r="E16" s="11"/>
      <c r="F16" s="11">
        <f t="shared" si="3"/>
        <v>1740</v>
      </c>
      <c r="G16" s="11">
        <f>500+1240</f>
        <v>1740</v>
      </c>
      <c r="H16" s="11"/>
      <c r="I16" s="11"/>
      <c r="J16" s="11"/>
      <c r="K16" s="25">
        <f t="shared" si="4"/>
        <v>0</v>
      </c>
      <c r="L16" s="11"/>
      <c r="M16" s="11"/>
      <c r="N16" s="11"/>
      <c r="O16" s="15">
        <f t="shared" si="1"/>
        <v>0</v>
      </c>
      <c r="P16" s="11"/>
      <c r="Q16" s="11"/>
      <c r="R16" s="11"/>
      <c r="S16" s="11"/>
      <c r="T16" s="11"/>
      <c r="U16" s="11"/>
      <c r="V16" s="5">
        <f t="shared" si="5"/>
        <v>0</v>
      </c>
      <c r="W16" s="88">
        <f>O16+V16</f>
        <v>0</v>
      </c>
      <c r="X16" s="89"/>
      <c r="Y16" s="23"/>
      <c r="Z16" s="6"/>
      <c r="AA16" s="95"/>
      <c r="AB16" s="132"/>
    </row>
    <row r="17" spans="1:28" ht="13.5" customHeight="1">
      <c r="A17" s="66" t="s">
        <v>21</v>
      </c>
      <c r="B17" s="72" t="s">
        <v>120</v>
      </c>
      <c r="C17" s="14">
        <v>6000</v>
      </c>
      <c r="D17" s="14"/>
      <c r="E17" s="11">
        <v>3855</v>
      </c>
      <c r="F17" s="11">
        <f t="shared" si="3"/>
        <v>6887.900000000001</v>
      </c>
      <c r="G17" s="11">
        <f>38.1+5349.8+1500</f>
        <v>6887.900000000001</v>
      </c>
      <c r="H17" s="11"/>
      <c r="I17" s="11"/>
      <c r="J17" s="11">
        <v>10000</v>
      </c>
      <c r="K17" s="25">
        <f t="shared" si="4"/>
        <v>8516.8</v>
      </c>
      <c r="L17" s="11">
        <f>9880.8-224-1140</f>
        <v>8516.8</v>
      </c>
      <c r="M17" s="11"/>
      <c r="N17" s="11"/>
      <c r="O17" s="15">
        <f t="shared" si="1"/>
        <v>8516.8</v>
      </c>
      <c r="P17" s="11"/>
      <c r="Q17" s="11"/>
      <c r="R17" s="11"/>
      <c r="S17" s="11"/>
      <c r="T17" s="11"/>
      <c r="U17" s="11"/>
      <c r="V17" s="5">
        <f t="shared" si="5"/>
        <v>0</v>
      </c>
      <c r="W17" s="88">
        <v>100</v>
      </c>
      <c r="X17" s="89"/>
      <c r="Y17" s="23" t="s">
        <v>16</v>
      </c>
      <c r="Z17" s="6"/>
      <c r="AA17" s="95"/>
      <c r="AB17" s="132"/>
    </row>
    <row r="18" spans="1:28" ht="15.75" customHeight="1">
      <c r="A18" s="66" t="s">
        <v>22</v>
      </c>
      <c r="B18" s="72" t="s">
        <v>121</v>
      </c>
      <c r="C18" s="14">
        <v>21375</v>
      </c>
      <c r="D18" s="14">
        <f>160+834-4889+3694</f>
        <v>-201</v>
      </c>
      <c r="E18" s="21" t="e">
        <f>SUM(#REF!)</f>
        <v>#REF!</v>
      </c>
      <c r="F18" s="11" t="e">
        <f t="shared" si="3"/>
        <v>#REF!</v>
      </c>
      <c r="G18" s="21" t="e">
        <f>SUM(#REF!)</f>
        <v>#REF!</v>
      </c>
      <c r="H18" s="21" t="e">
        <f>SUM(#REF!)</f>
        <v>#REF!</v>
      </c>
      <c r="I18" s="21" t="e">
        <f>SUM(#REF!)</f>
        <v>#REF!</v>
      </c>
      <c r="J18" s="21" t="e">
        <f>SUM(#REF!)</f>
        <v>#REF!</v>
      </c>
      <c r="K18" s="25" t="e">
        <f t="shared" si="4"/>
        <v>#REF!</v>
      </c>
      <c r="L18" s="21" t="e">
        <f>SUM(#REF!)</f>
        <v>#REF!</v>
      </c>
      <c r="M18" s="21" t="e">
        <f>SUM(#REF!)</f>
        <v>#REF!</v>
      </c>
      <c r="N18" s="21" t="e">
        <f>SUM(#REF!)</f>
        <v>#REF!</v>
      </c>
      <c r="O18" s="15" t="e">
        <f t="shared" si="1"/>
        <v>#REF!</v>
      </c>
      <c r="P18" s="78" t="e">
        <f>SUM(#REF!)</f>
        <v>#REF!</v>
      </c>
      <c r="Q18" s="21" t="e">
        <f>SUM(#REF!)</f>
        <v>#REF!</v>
      </c>
      <c r="R18" s="21" t="e">
        <f>SUM(#REF!)</f>
        <v>#REF!</v>
      </c>
      <c r="S18" s="21" t="e">
        <f>SUM(#REF!)</f>
        <v>#REF!</v>
      </c>
      <c r="T18" s="21" t="e">
        <f>SUM(#REF!)</f>
        <v>#REF!</v>
      </c>
      <c r="U18" s="21" t="e">
        <f>SUM(#REF!)</f>
        <v>#REF!</v>
      </c>
      <c r="V18" s="5" t="e">
        <f t="shared" si="5"/>
        <v>#REF!</v>
      </c>
      <c r="W18" s="88">
        <v>560</v>
      </c>
      <c r="X18" s="89"/>
      <c r="Y18" s="23" t="e">
        <f>SUM(#REF!)</f>
        <v>#REF!</v>
      </c>
      <c r="Z18" s="6" t="e">
        <f>L18/Y18*100</f>
        <v>#REF!</v>
      </c>
      <c r="AA18" s="95">
        <v>477.79</v>
      </c>
      <c r="AB18" s="132">
        <f aca="true" t="shared" si="6" ref="AB18:AB26">AA18/W18*100</f>
        <v>85.31964285714287</v>
      </c>
    </row>
    <row r="19" spans="1:28" ht="15">
      <c r="A19" s="68" t="s">
        <v>186</v>
      </c>
      <c r="B19" s="73" t="s">
        <v>184</v>
      </c>
      <c r="C19" s="14"/>
      <c r="D19" s="14"/>
      <c r="E19" s="15"/>
      <c r="F19" s="11"/>
      <c r="G19" s="15"/>
      <c r="H19" s="15"/>
      <c r="I19" s="15"/>
      <c r="J19" s="15"/>
      <c r="K19" s="2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5"/>
      <c r="W19" s="79">
        <f>W20</f>
        <v>309.08</v>
      </c>
      <c r="X19" s="89"/>
      <c r="Y19" s="23"/>
      <c r="Z19" s="6"/>
      <c r="AA19" s="128">
        <f>AA20</f>
        <v>309.08</v>
      </c>
      <c r="AB19" s="135">
        <f t="shared" si="6"/>
        <v>100</v>
      </c>
    </row>
    <row r="20" spans="1:28" ht="15">
      <c r="A20" s="66" t="s">
        <v>187</v>
      </c>
      <c r="B20" s="72" t="s">
        <v>185</v>
      </c>
      <c r="C20" s="14"/>
      <c r="D20" s="14"/>
      <c r="E20" s="15"/>
      <c r="F20" s="11"/>
      <c r="G20" s="15"/>
      <c r="H20" s="15"/>
      <c r="I20" s="15"/>
      <c r="J20" s="15"/>
      <c r="K20" s="2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5"/>
      <c r="W20" s="88">
        <v>309.08</v>
      </c>
      <c r="X20" s="89"/>
      <c r="Y20" s="23"/>
      <c r="Z20" s="6"/>
      <c r="AA20" s="95">
        <v>309.08</v>
      </c>
      <c r="AB20" s="132">
        <f t="shared" si="6"/>
        <v>100</v>
      </c>
    </row>
    <row r="21" spans="1:28" ht="24.75" customHeight="1">
      <c r="A21" s="68" t="s">
        <v>34</v>
      </c>
      <c r="B21" s="73" t="s">
        <v>35</v>
      </c>
      <c r="C21" s="5">
        <f>SUM(C23:C23)</f>
        <v>900</v>
      </c>
      <c r="D21" s="5">
        <f>SUM(D23:D23)</f>
        <v>0</v>
      </c>
      <c r="E21" s="5">
        <f aca="true" t="shared" si="7" ref="E21:N21">SUM(E22:E23)</f>
        <v>1016.4</v>
      </c>
      <c r="F21" s="5">
        <f t="shared" si="7"/>
        <v>2631.2</v>
      </c>
      <c r="G21" s="5">
        <f t="shared" si="7"/>
        <v>2631.2</v>
      </c>
      <c r="H21" s="5">
        <f t="shared" si="7"/>
        <v>0</v>
      </c>
      <c r="I21" s="5">
        <f t="shared" si="7"/>
        <v>0</v>
      </c>
      <c r="J21" s="5">
        <f t="shared" si="7"/>
        <v>4921.4</v>
      </c>
      <c r="K21" s="54">
        <f t="shared" si="7"/>
        <v>2880</v>
      </c>
      <c r="L21" s="5">
        <f t="shared" si="7"/>
        <v>2880</v>
      </c>
      <c r="M21" s="5">
        <f t="shared" si="7"/>
        <v>0</v>
      </c>
      <c r="N21" s="5">
        <f t="shared" si="7"/>
        <v>0</v>
      </c>
      <c r="O21" s="77">
        <f t="shared" si="1"/>
        <v>2880</v>
      </c>
      <c r="P21" s="5">
        <f aca="true" t="shared" si="8" ref="P21:U21">SUM(P22:P23)</f>
        <v>0</v>
      </c>
      <c r="Q21" s="5">
        <f t="shared" si="8"/>
        <v>0</v>
      </c>
      <c r="R21" s="5">
        <f t="shared" si="8"/>
        <v>0</v>
      </c>
      <c r="S21" s="5">
        <f t="shared" si="8"/>
        <v>0</v>
      </c>
      <c r="T21" s="5">
        <f t="shared" si="8"/>
        <v>0</v>
      </c>
      <c r="U21" s="5">
        <f t="shared" si="8"/>
        <v>0</v>
      </c>
      <c r="V21" s="5">
        <f t="shared" si="5"/>
        <v>0</v>
      </c>
      <c r="W21" s="79">
        <f>W22+W23</f>
        <v>315</v>
      </c>
      <c r="X21" s="79">
        <f>SUM(X22:X23)</f>
        <v>0</v>
      </c>
      <c r="Y21" s="79">
        <f>SUM(Y22:Y23)</f>
        <v>517.2</v>
      </c>
      <c r="Z21" s="79">
        <f>SUM(Z22:Z23)</f>
        <v>1113.68909512761</v>
      </c>
      <c r="AA21" s="79">
        <v>315</v>
      </c>
      <c r="AB21" s="135">
        <f t="shared" si="6"/>
        <v>100</v>
      </c>
    </row>
    <row r="22" spans="1:28" ht="23.25" customHeight="1">
      <c r="A22" s="66" t="s">
        <v>38</v>
      </c>
      <c r="B22" s="72" t="s">
        <v>39</v>
      </c>
      <c r="C22" s="14">
        <v>900</v>
      </c>
      <c r="D22" s="14"/>
      <c r="E22" s="14">
        <v>508.2</v>
      </c>
      <c r="F22" s="11">
        <f>G22+H22+I22</f>
        <v>1315.6</v>
      </c>
      <c r="G22" s="14">
        <v>1315.6</v>
      </c>
      <c r="H22" s="14"/>
      <c r="I22" s="14"/>
      <c r="J22" s="14">
        <f>960.7+1500</f>
        <v>2460.7</v>
      </c>
      <c r="K22" s="25">
        <f>L22+M22+N22</f>
        <v>1440</v>
      </c>
      <c r="L22" s="14">
        <v>1440</v>
      </c>
      <c r="M22" s="14"/>
      <c r="N22" s="14"/>
      <c r="O22" s="15">
        <f>L22+M22+N22</f>
        <v>1440</v>
      </c>
      <c r="P22" s="14"/>
      <c r="Q22" s="14"/>
      <c r="R22" s="14"/>
      <c r="S22" s="14"/>
      <c r="T22" s="14"/>
      <c r="U22" s="14"/>
      <c r="V22" s="5">
        <f>P22+Q22+R22+U22+S22+T22</f>
        <v>0</v>
      </c>
      <c r="W22" s="88">
        <v>195</v>
      </c>
      <c r="X22" s="89"/>
      <c r="Y22" s="23">
        <v>258.6</v>
      </c>
      <c r="Z22" s="6">
        <f>L22/Y22*100</f>
        <v>556.844547563805</v>
      </c>
      <c r="AA22" s="130">
        <v>195</v>
      </c>
      <c r="AB22" s="132">
        <f t="shared" si="6"/>
        <v>100</v>
      </c>
    </row>
    <row r="23" spans="1:28" ht="15" customHeight="1">
      <c r="A23" s="66" t="s">
        <v>40</v>
      </c>
      <c r="B23" s="72" t="s">
        <v>41</v>
      </c>
      <c r="C23" s="14">
        <v>900</v>
      </c>
      <c r="D23" s="14"/>
      <c r="E23" s="14">
        <v>508.2</v>
      </c>
      <c r="F23" s="11">
        <f t="shared" si="3"/>
        <v>1315.6</v>
      </c>
      <c r="G23" s="14">
        <v>1315.6</v>
      </c>
      <c r="H23" s="14"/>
      <c r="I23" s="14"/>
      <c r="J23" s="14">
        <f>960.7+1500</f>
        <v>2460.7</v>
      </c>
      <c r="K23" s="25">
        <f>L23+M23+N23</f>
        <v>1440</v>
      </c>
      <c r="L23" s="14">
        <v>1440</v>
      </c>
      <c r="M23" s="14"/>
      <c r="N23" s="14"/>
      <c r="O23" s="15">
        <f t="shared" si="1"/>
        <v>1440</v>
      </c>
      <c r="P23" s="14"/>
      <c r="Q23" s="14"/>
      <c r="R23" s="14"/>
      <c r="S23" s="14"/>
      <c r="T23" s="14"/>
      <c r="U23" s="14"/>
      <c r="V23" s="5">
        <f t="shared" si="5"/>
        <v>0</v>
      </c>
      <c r="W23" s="88">
        <v>120</v>
      </c>
      <c r="X23" s="89"/>
      <c r="Y23" s="23">
        <v>258.6</v>
      </c>
      <c r="Z23" s="6">
        <f>L23/Y23*100</f>
        <v>556.844547563805</v>
      </c>
      <c r="AA23" s="130">
        <v>120</v>
      </c>
      <c r="AB23" s="132">
        <f t="shared" si="6"/>
        <v>100</v>
      </c>
    </row>
    <row r="24" spans="1:28" ht="16.5" customHeight="1">
      <c r="A24" s="68" t="s">
        <v>44</v>
      </c>
      <c r="B24" s="73" t="s">
        <v>45</v>
      </c>
      <c r="C24" s="5">
        <f>SUM(C26:C28)</f>
        <v>6220</v>
      </c>
      <c r="D24" s="5">
        <f>SUM(D26:D28)</f>
        <v>0</v>
      </c>
      <c r="E24" s="5" t="e">
        <f>E26+E27+#REF!+#REF!+#REF!+E28</f>
        <v>#REF!</v>
      </c>
      <c r="F24" s="5" t="e">
        <f>F26+F27+#REF!+#REF!+#REF!+F28</f>
        <v>#REF!</v>
      </c>
      <c r="G24" s="5" t="e">
        <f>G26+G27+#REF!+#REF!+#REF!+G28</f>
        <v>#REF!</v>
      </c>
      <c r="H24" s="5" t="e">
        <f>H26+H27+#REF!+#REF!+#REF!+H28</f>
        <v>#REF!</v>
      </c>
      <c r="I24" s="5" t="e">
        <f>I26+I27+#REF!+#REF!+#REF!+I28</f>
        <v>#REF!</v>
      </c>
      <c r="J24" s="5" t="e">
        <f>J26+J27+#REF!+#REF!+#REF!+J28+#REF!</f>
        <v>#REF!</v>
      </c>
      <c r="K24" s="54" t="e">
        <f>K26+K27+#REF!+#REF!+#REF!+K28+#REF!</f>
        <v>#REF!</v>
      </c>
      <c r="L24" s="5" t="e">
        <f>L26+L27+#REF!+#REF!+#REF!+L28+#REF!</f>
        <v>#REF!</v>
      </c>
      <c r="M24" s="5" t="e">
        <f>M26+M27+#REF!+#REF!+#REF!+M28+#REF!</f>
        <v>#REF!</v>
      </c>
      <c r="N24" s="5" t="e">
        <f>N26+N27+#REF!+#REF!+#REF!+N28+#REF!</f>
        <v>#REF!</v>
      </c>
      <c r="O24" s="77" t="e">
        <f t="shared" si="1"/>
        <v>#REF!</v>
      </c>
      <c r="P24" s="5" t="e">
        <f>P26+P27+#REF!+#REF!+#REF!+P28+#REF!</f>
        <v>#REF!</v>
      </c>
      <c r="Q24" s="5" t="e">
        <f>Q26+Q27+#REF!+#REF!+#REF!+Q28+#REF!</f>
        <v>#REF!</v>
      </c>
      <c r="R24" s="5" t="e">
        <f>R26+R27+#REF!+#REF!+#REF!+R28+#REF!</f>
        <v>#REF!</v>
      </c>
      <c r="S24" s="5" t="e">
        <f>S26+S27+#REF!+#REF!+#REF!+S28+#REF!</f>
        <v>#REF!</v>
      </c>
      <c r="T24" s="5" t="e">
        <f>T26+T27+#REF!+#REF!+#REF!+T28+#REF!</f>
        <v>#REF!</v>
      </c>
      <c r="U24" s="5" t="e">
        <f>U26+U27+#REF!+#REF!+#REF!+U28+#REF!</f>
        <v>#REF!</v>
      </c>
      <c r="V24" s="5" t="e">
        <f t="shared" si="5"/>
        <v>#REF!</v>
      </c>
      <c r="W24" s="79">
        <f>W25+W26+W27+W28</f>
        <v>1380.99</v>
      </c>
      <c r="X24" s="79" t="e">
        <f>#REF!+X27+#REF!+#REF!+X28</f>
        <v>#REF!</v>
      </c>
      <c r="Y24" s="79" t="e">
        <f>#REF!+Y27+#REF!+#REF!+Y28</f>
        <v>#REF!</v>
      </c>
      <c r="Z24" s="79" t="e">
        <f>#REF!+Z27+#REF!+#REF!+Z28</f>
        <v>#REF!</v>
      </c>
      <c r="AA24" s="79">
        <f>AA25+AA26+AA27+AA28</f>
        <v>1255.51</v>
      </c>
      <c r="AB24" s="135">
        <f t="shared" si="6"/>
        <v>90.9137647629599</v>
      </c>
    </row>
    <row r="25" spans="1:28" ht="14.25" customHeight="1">
      <c r="A25" s="134" t="s">
        <v>195</v>
      </c>
      <c r="B25" s="72" t="s">
        <v>196</v>
      </c>
      <c r="C25" s="5"/>
      <c r="D25" s="5"/>
      <c r="E25" s="5"/>
      <c r="F25" s="5"/>
      <c r="G25" s="5"/>
      <c r="H25" s="5"/>
      <c r="I25" s="5"/>
      <c r="J25" s="5"/>
      <c r="K25" s="54"/>
      <c r="L25" s="5"/>
      <c r="M25" s="5"/>
      <c r="N25" s="5"/>
      <c r="O25" s="77"/>
      <c r="P25" s="5"/>
      <c r="Q25" s="5"/>
      <c r="R25" s="5"/>
      <c r="S25" s="5"/>
      <c r="T25" s="5"/>
      <c r="U25" s="5"/>
      <c r="V25" s="5"/>
      <c r="W25" s="88">
        <v>124.99</v>
      </c>
      <c r="X25" s="79"/>
      <c r="Y25" s="79"/>
      <c r="Z25" s="79"/>
      <c r="AA25" s="88">
        <v>41.7</v>
      </c>
      <c r="AB25" s="136">
        <f>AA25/W25*100</f>
        <v>33.362669013521085</v>
      </c>
    </row>
    <row r="26" spans="1:28" ht="16.5" customHeight="1">
      <c r="A26" s="66" t="s">
        <v>188</v>
      </c>
      <c r="B26" s="72" t="s">
        <v>46</v>
      </c>
      <c r="C26" s="14">
        <v>2820</v>
      </c>
      <c r="D26" s="14"/>
      <c r="E26" s="14"/>
      <c r="F26" s="11">
        <f t="shared" si="3"/>
        <v>138</v>
      </c>
      <c r="G26" s="14">
        <v>138</v>
      </c>
      <c r="H26" s="14"/>
      <c r="I26" s="14"/>
      <c r="J26" s="14"/>
      <c r="K26" s="25">
        <f>L26+M26+N26</f>
        <v>0</v>
      </c>
      <c r="L26" s="14"/>
      <c r="M26" s="14"/>
      <c r="N26" s="14"/>
      <c r="O26" s="15">
        <f t="shared" si="1"/>
        <v>0</v>
      </c>
      <c r="P26" s="14"/>
      <c r="Q26" s="14"/>
      <c r="R26" s="14"/>
      <c r="S26" s="14"/>
      <c r="T26" s="14"/>
      <c r="U26" s="14"/>
      <c r="V26" s="5">
        <f t="shared" si="5"/>
        <v>0</v>
      </c>
      <c r="W26" s="88">
        <v>360</v>
      </c>
      <c r="X26" s="89"/>
      <c r="Y26" s="23">
        <v>1880.3</v>
      </c>
      <c r="Z26" s="6">
        <f>L26/Y26*100</f>
        <v>0</v>
      </c>
      <c r="AA26" s="95">
        <v>359.25</v>
      </c>
      <c r="AB26" s="132">
        <f t="shared" si="6"/>
        <v>99.79166666666667</v>
      </c>
    </row>
    <row r="27" spans="1:28" ht="12" customHeight="1">
      <c r="A27" s="66" t="s">
        <v>47</v>
      </c>
      <c r="B27" s="72" t="s">
        <v>48</v>
      </c>
      <c r="C27" s="14">
        <v>1500</v>
      </c>
      <c r="D27" s="14"/>
      <c r="E27" s="14">
        <v>1590</v>
      </c>
      <c r="F27" s="11">
        <f t="shared" si="3"/>
        <v>1590</v>
      </c>
      <c r="G27" s="14">
        <v>1590</v>
      </c>
      <c r="H27" s="14"/>
      <c r="I27" s="14"/>
      <c r="J27" s="14">
        <f>1800</f>
        <v>1800</v>
      </c>
      <c r="K27" s="25">
        <f>L27+M27+N27</f>
        <v>1600</v>
      </c>
      <c r="L27" s="14">
        <v>1600</v>
      </c>
      <c r="M27" s="14"/>
      <c r="N27" s="14"/>
      <c r="O27" s="15">
        <f t="shared" si="1"/>
        <v>1600</v>
      </c>
      <c r="P27" s="14"/>
      <c r="Q27" s="14"/>
      <c r="R27" s="14"/>
      <c r="S27" s="14"/>
      <c r="T27" s="14"/>
      <c r="U27" s="14"/>
      <c r="V27" s="5">
        <f t="shared" si="5"/>
        <v>0</v>
      </c>
      <c r="W27" s="88"/>
      <c r="X27" s="89"/>
      <c r="Y27" s="23"/>
      <c r="Z27" s="6"/>
      <c r="AA27" s="96"/>
      <c r="AB27" s="132"/>
    </row>
    <row r="28" spans="1:28" ht="15" customHeight="1">
      <c r="A28" s="66" t="s">
        <v>189</v>
      </c>
      <c r="B28" s="72" t="s">
        <v>123</v>
      </c>
      <c r="C28" s="14">
        <v>1900</v>
      </c>
      <c r="D28" s="14"/>
      <c r="E28" s="14" t="e">
        <f>SUM(#REF!)</f>
        <v>#REF!</v>
      </c>
      <c r="F28" s="11" t="e">
        <f t="shared" si="3"/>
        <v>#REF!</v>
      </c>
      <c r="G28" s="23" t="e">
        <f>SUM(#REF!)</f>
        <v>#REF!</v>
      </c>
      <c r="H28" s="23" t="e">
        <f>SUM(#REF!)</f>
        <v>#REF!</v>
      </c>
      <c r="I28" s="23" t="e">
        <f>SUM(#REF!)</f>
        <v>#REF!</v>
      </c>
      <c r="J28" s="14" t="e">
        <f>SUM(#REF!)</f>
        <v>#REF!</v>
      </c>
      <c r="K28" s="25" t="e">
        <f>L28+M28+N28</f>
        <v>#REF!</v>
      </c>
      <c r="L28" s="14" t="e">
        <f>SUM(#REF!)</f>
        <v>#REF!</v>
      </c>
      <c r="M28" s="14" t="e">
        <f>SUM(#REF!)</f>
        <v>#REF!</v>
      </c>
      <c r="N28" s="14" t="e">
        <f>SUM(#REF!)</f>
        <v>#REF!</v>
      </c>
      <c r="O28" s="15" t="e">
        <f t="shared" si="1"/>
        <v>#REF!</v>
      </c>
      <c r="P28" s="14" t="e">
        <f>SUM(#REF!)</f>
        <v>#REF!</v>
      </c>
      <c r="Q28" s="14" t="e">
        <f>SUM(#REF!)</f>
        <v>#REF!</v>
      </c>
      <c r="R28" s="14" t="e">
        <f>SUM(#REF!)</f>
        <v>#REF!</v>
      </c>
      <c r="S28" s="14" t="e">
        <f>SUM(#REF!)</f>
        <v>#REF!</v>
      </c>
      <c r="T28" s="14" t="e">
        <f>SUM(#REF!)</f>
        <v>#REF!</v>
      </c>
      <c r="U28" s="14" t="e">
        <f>SUM(#REF!)</f>
        <v>#REF!</v>
      </c>
      <c r="V28" s="5" t="e">
        <f t="shared" si="5"/>
        <v>#REF!</v>
      </c>
      <c r="W28" s="88">
        <v>896</v>
      </c>
      <c r="X28" s="89"/>
      <c r="Y28" s="23"/>
      <c r="Z28" s="6"/>
      <c r="AA28" s="130">
        <v>854.56</v>
      </c>
      <c r="AB28" s="132">
        <f>AA28/W28*100</f>
        <v>95.375</v>
      </c>
    </row>
    <row r="29" spans="1:28" ht="19.5" customHeight="1">
      <c r="A29" s="68" t="s">
        <v>57</v>
      </c>
      <c r="B29" s="73" t="s">
        <v>58</v>
      </c>
      <c r="C29" s="5">
        <f>SUM(C30:C33)</f>
        <v>59545</v>
      </c>
      <c r="D29" s="5">
        <f>SUM(D30:D33)</f>
        <v>0</v>
      </c>
      <c r="E29" s="5" t="e">
        <f>SUM(E30:E33)</f>
        <v>#REF!</v>
      </c>
      <c r="F29" s="5" t="e">
        <f>SUM(F30:F33)</f>
        <v>#REF!</v>
      </c>
      <c r="G29" s="5" t="e">
        <f>SUM(G30:G33)</f>
        <v>#REF!</v>
      </c>
      <c r="H29" s="5" t="e">
        <f aca="true" t="shared" si="9" ref="H29:N29">SUM(H30:H33)</f>
        <v>#REF!</v>
      </c>
      <c r="I29" s="5" t="e">
        <f t="shared" si="9"/>
        <v>#REF!</v>
      </c>
      <c r="J29" s="5" t="e">
        <f>SUM(J30:J33)</f>
        <v>#REF!</v>
      </c>
      <c r="K29" s="54" t="e">
        <f t="shared" si="9"/>
        <v>#REF!</v>
      </c>
      <c r="L29" s="5" t="e">
        <f t="shared" si="9"/>
        <v>#REF!</v>
      </c>
      <c r="M29" s="5" t="e">
        <f t="shared" si="9"/>
        <v>#REF!</v>
      </c>
      <c r="N29" s="5" t="e">
        <f t="shared" si="9"/>
        <v>#REF!</v>
      </c>
      <c r="O29" s="77" t="e">
        <f t="shared" si="1"/>
        <v>#REF!</v>
      </c>
      <c r="P29" s="5" t="e">
        <f aca="true" t="shared" si="10" ref="P29:U29">SUM(P30:P33)</f>
        <v>#REF!</v>
      </c>
      <c r="Q29" s="5" t="e">
        <f t="shared" si="10"/>
        <v>#REF!</v>
      </c>
      <c r="R29" s="5" t="e">
        <f t="shared" si="10"/>
        <v>#REF!</v>
      </c>
      <c r="S29" s="5" t="e">
        <f t="shared" si="10"/>
        <v>#REF!</v>
      </c>
      <c r="T29" s="5">
        <f t="shared" si="10"/>
        <v>0</v>
      </c>
      <c r="U29" s="5" t="e">
        <f t="shared" si="10"/>
        <v>#REF!</v>
      </c>
      <c r="V29" s="5" t="e">
        <f t="shared" si="5"/>
        <v>#REF!</v>
      </c>
      <c r="W29" s="79">
        <f>W30+W31+W32+W33</f>
        <v>20898.61</v>
      </c>
      <c r="X29" s="79">
        <f>X33+X32+X31+X30</f>
        <v>0</v>
      </c>
      <c r="Y29" s="79">
        <f>Y33+Y32+Y31+Y30</f>
        <v>0</v>
      </c>
      <c r="Z29" s="79">
        <f>Z33+Z32+Z31+Z30</f>
        <v>0</v>
      </c>
      <c r="AA29" s="79">
        <f>AA30+AA31+AA32+AA33</f>
        <v>19617.96</v>
      </c>
      <c r="AB29" s="135">
        <f>AA29/W29*100</f>
        <v>93.87208048764964</v>
      </c>
    </row>
    <row r="30" spans="1:28" ht="15.75" customHeight="1">
      <c r="A30" s="66" t="s">
        <v>190</v>
      </c>
      <c r="B30" s="72" t="s">
        <v>60</v>
      </c>
      <c r="C30" s="14">
        <v>0</v>
      </c>
      <c r="D30" s="14"/>
      <c r="E30" s="14">
        <v>2500</v>
      </c>
      <c r="F30" s="11">
        <f t="shared" si="3"/>
        <v>8584.099999999999</v>
      </c>
      <c r="G30" s="14">
        <f>32888.5-19806.2-4498.2</f>
        <v>8584.099999999999</v>
      </c>
      <c r="H30" s="14"/>
      <c r="I30" s="14"/>
      <c r="J30" s="14">
        <v>10000</v>
      </c>
      <c r="K30" s="25">
        <f>L30+M30+N30</f>
        <v>14319.7</v>
      </c>
      <c r="L30" s="14">
        <f>10000+4319.7</f>
        <v>14319.7</v>
      </c>
      <c r="M30" s="14"/>
      <c r="N30" s="14"/>
      <c r="O30" s="15">
        <f t="shared" si="1"/>
        <v>14319.7</v>
      </c>
      <c r="P30" s="14"/>
      <c r="Q30" s="14"/>
      <c r="R30" s="14">
        <f>8049.6-400</f>
        <v>7649.6</v>
      </c>
      <c r="S30" s="14">
        <f>20445.53+10000</f>
        <v>30445.53</v>
      </c>
      <c r="T30" s="14"/>
      <c r="U30" s="14"/>
      <c r="V30" s="5">
        <f t="shared" si="5"/>
        <v>38095.13</v>
      </c>
      <c r="W30" s="88">
        <v>1840.64</v>
      </c>
      <c r="X30" s="89"/>
      <c r="Y30" s="23"/>
      <c r="Z30" s="6"/>
      <c r="AA30" s="95">
        <v>1624.31</v>
      </c>
      <c r="AB30" s="132">
        <f>AA30/W30*100</f>
        <v>88.24702277468705</v>
      </c>
    </row>
    <row r="31" spans="1:28" ht="14.25" customHeight="1">
      <c r="A31" s="66" t="s">
        <v>191</v>
      </c>
      <c r="B31" s="72" t="s">
        <v>62</v>
      </c>
      <c r="C31" s="14">
        <v>53545</v>
      </c>
      <c r="D31" s="14">
        <v>-5700</v>
      </c>
      <c r="E31" s="14">
        <v>127031.4</v>
      </c>
      <c r="F31" s="11">
        <f t="shared" si="3"/>
        <v>8995.800000000003</v>
      </c>
      <c r="G31" s="14">
        <f>100242.1-95206.8+2960.5</f>
        <v>7995.800000000003</v>
      </c>
      <c r="H31" s="14">
        <v>1000</v>
      </c>
      <c r="I31" s="14"/>
      <c r="J31" s="14">
        <f>854.5+445.8</f>
        <v>1300.3</v>
      </c>
      <c r="K31" s="25">
        <f>L31+M31+N31</f>
        <v>0</v>
      </c>
      <c r="L31" s="14"/>
      <c r="M31" s="14"/>
      <c r="N31" s="14"/>
      <c r="O31" s="15">
        <f t="shared" si="1"/>
        <v>0</v>
      </c>
      <c r="P31" s="14">
        <v>134909.8</v>
      </c>
      <c r="Q31" s="14"/>
      <c r="R31" s="14">
        <v>890</v>
      </c>
      <c r="S31" s="14"/>
      <c r="T31" s="14"/>
      <c r="U31" s="14"/>
      <c r="V31" s="5">
        <f t="shared" si="5"/>
        <v>135799.8</v>
      </c>
      <c r="W31" s="88">
        <v>12.36</v>
      </c>
      <c r="X31" s="89"/>
      <c r="Y31" s="23"/>
      <c r="Z31" s="6"/>
      <c r="AA31" s="129">
        <v>12.28</v>
      </c>
      <c r="AB31" s="132">
        <f>AA31/W31*100</f>
        <v>99.35275080906149</v>
      </c>
    </row>
    <row r="32" spans="1:28" ht="15">
      <c r="A32" s="66" t="s">
        <v>124</v>
      </c>
      <c r="B32" s="72" t="s">
        <v>125</v>
      </c>
      <c r="C32" s="14"/>
      <c r="D32" s="14"/>
      <c r="E32" s="14"/>
      <c r="F32" s="11">
        <f t="shared" si="3"/>
        <v>0</v>
      </c>
      <c r="G32" s="14"/>
      <c r="H32" s="14"/>
      <c r="I32" s="14"/>
      <c r="J32" s="14">
        <v>37360</v>
      </c>
      <c r="K32" s="25">
        <f>L32+M32+N32</f>
        <v>8239</v>
      </c>
      <c r="L32" s="14">
        <v>8239</v>
      </c>
      <c r="M32" s="14"/>
      <c r="N32" s="14"/>
      <c r="O32" s="15">
        <f t="shared" si="1"/>
        <v>8239</v>
      </c>
      <c r="P32" s="14"/>
      <c r="Q32" s="14"/>
      <c r="R32" s="14"/>
      <c r="S32" s="14"/>
      <c r="T32" s="14"/>
      <c r="U32" s="14"/>
      <c r="V32" s="5">
        <f t="shared" si="5"/>
        <v>0</v>
      </c>
      <c r="W32" s="88">
        <v>19045.61</v>
      </c>
      <c r="X32" s="89"/>
      <c r="Y32" s="23"/>
      <c r="Z32" s="6"/>
      <c r="AA32" s="129">
        <v>17981.37</v>
      </c>
      <c r="AB32" s="132">
        <f>AA32/W32*100</f>
        <v>94.4121506215868</v>
      </c>
    </row>
    <row r="33" spans="1:28" ht="14.25" customHeight="1">
      <c r="A33" s="66" t="s">
        <v>63</v>
      </c>
      <c r="B33" s="72" t="s">
        <v>126</v>
      </c>
      <c r="C33" s="14">
        <v>6000</v>
      </c>
      <c r="D33" s="14">
        <v>5700</v>
      </c>
      <c r="E33" s="14" t="e">
        <f>SUM(#REF!)</f>
        <v>#REF!</v>
      </c>
      <c r="F33" s="11" t="e">
        <f t="shared" si="3"/>
        <v>#REF!</v>
      </c>
      <c r="G33" s="14" t="e">
        <f>SUM(#REF!)</f>
        <v>#REF!</v>
      </c>
      <c r="H33" s="14" t="e">
        <f>SUM(#REF!)</f>
        <v>#REF!</v>
      </c>
      <c r="I33" s="14" t="e">
        <f>SUM(#REF!)</f>
        <v>#REF!</v>
      </c>
      <c r="J33" s="14" t="e">
        <f>SUM(#REF!)</f>
        <v>#REF!</v>
      </c>
      <c r="K33" s="25" t="e">
        <f>L33+M33+N33</f>
        <v>#REF!</v>
      </c>
      <c r="L33" s="14" t="e">
        <f>SUM(#REF!)</f>
        <v>#REF!</v>
      </c>
      <c r="M33" s="14" t="e">
        <f>SUM(#REF!)</f>
        <v>#REF!</v>
      </c>
      <c r="N33" s="14" t="e">
        <f>SUM(#REF!)</f>
        <v>#REF!</v>
      </c>
      <c r="O33" s="15" t="e">
        <f t="shared" si="1"/>
        <v>#REF!</v>
      </c>
      <c r="P33" s="14" t="e">
        <f>#REF!+#REF!+#REF!</f>
        <v>#REF!</v>
      </c>
      <c r="Q33" s="14" t="e">
        <f>#REF!+#REF!+#REF!</f>
        <v>#REF!</v>
      </c>
      <c r="R33" s="14" t="e">
        <f>#REF!+#REF!+#REF!</f>
        <v>#REF!</v>
      </c>
      <c r="S33" s="14" t="e">
        <f>#REF!+#REF!+#REF!</f>
        <v>#REF!</v>
      </c>
      <c r="T33" s="14"/>
      <c r="U33" s="14" t="e">
        <f>#REF!+#REF!+#REF!</f>
        <v>#REF!</v>
      </c>
      <c r="V33" s="5" t="e">
        <f t="shared" si="5"/>
        <v>#REF!</v>
      </c>
      <c r="W33" s="88"/>
      <c r="X33" s="89"/>
      <c r="Y33" s="23"/>
      <c r="Z33" s="6"/>
      <c r="AA33" s="95"/>
      <c r="AB33" s="132"/>
    </row>
    <row r="34" spans="1:28" ht="17.25" customHeight="1">
      <c r="A34" s="68" t="s">
        <v>69</v>
      </c>
      <c r="B34" s="73" t="s">
        <v>70</v>
      </c>
      <c r="C34" s="5">
        <f aca="true" t="shared" si="11" ref="C34:N34">SUM(C35:C36)</f>
        <v>3320</v>
      </c>
      <c r="D34" s="5">
        <f t="shared" si="11"/>
        <v>0</v>
      </c>
      <c r="E34" s="5">
        <f t="shared" si="11"/>
        <v>13350</v>
      </c>
      <c r="F34" s="5">
        <f t="shared" si="11"/>
        <v>21075</v>
      </c>
      <c r="G34" s="5">
        <f t="shared" si="11"/>
        <v>4870</v>
      </c>
      <c r="H34" s="5">
        <f t="shared" si="11"/>
        <v>1557.2</v>
      </c>
      <c r="I34" s="5">
        <f t="shared" si="11"/>
        <v>14647.8</v>
      </c>
      <c r="J34" s="5">
        <f t="shared" si="11"/>
        <v>8730</v>
      </c>
      <c r="K34" s="54">
        <f t="shared" si="11"/>
        <v>16230</v>
      </c>
      <c r="L34" s="5">
        <f t="shared" si="11"/>
        <v>6280</v>
      </c>
      <c r="M34" s="5">
        <f t="shared" si="11"/>
        <v>650</v>
      </c>
      <c r="N34" s="5">
        <f t="shared" si="11"/>
        <v>9300</v>
      </c>
      <c r="O34" s="77">
        <f aca="true" t="shared" si="12" ref="O34:O48">L34+M34+N34</f>
        <v>16230</v>
      </c>
      <c r="P34" s="5">
        <f aca="true" t="shared" si="13" ref="P34:U34">SUM(P35:P36)</f>
        <v>0</v>
      </c>
      <c r="Q34" s="5">
        <f t="shared" si="13"/>
        <v>-2435.86</v>
      </c>
      <c r="R34" s="5">
        <f t="shared" si="13"/>
        <v>0</v>
      </c>
      <c r="S34" s="5">
        <f t="shared" si="13"/>
        <v>0</v>
      </c>
      <c r="T34" s="5">
        <f t="shared" si="13"/>
        <v>0</v>
      </c>
      <c r="U34" s="5">
        <f t="shared" si="13"/>
        <v>0</v>
      </c>
      <c r="V34" s="5">
        <f t="shared" si="5"/>
        <v>-2435.86</v>
      </c>
      <c r="W34" s="79">
        <f>W35</f>
        <v>174.87</v>
      </c>
      <c r="X34" s="6">
        <f>SUM(X35:X36)</f>
        <v>5582.3</v>
      </c>
      <c r="Y34" s="6">
        <f>SUM(Y35:Y36)</f>
        <v>12560</v>
      </c>
      <c r="Z34" s="6">
        <f>SUM(Z35:Z36)</f>
        <v>32.48407643312102</v>
      </c>
      <c r="AA34" s="79">
        <f>SUM(AA35:AA36)</f>
        <v>174.86</v>
      </c>
      <c r="AB34" s="132">
        <f>AA34/W34*100</f>
        <v>99.99428146623205</v>
      </c>
    </row>
    <row r="35" spans="1:28" ht="15">
      <c r="A35" s="66" t="s">
        <v>75</v>
      </c>
      <c r="B35" s="72" t="s">
        <v>76</v>
      </c>
      <c r="C35" s="14">
        <v>3320</v>
      </c>
      <c r="D35" s="14"/>
      <c r="E35" s="14">
        <v>13350</v>
      </c>
      <c r="F35" s="11">
        <f t="shared" si="3"/>
        <v>18884.4</v>
      </c>
      <c r="G35" s="14">
        <f>4600+170+100-2190.6</f>
        <v>2679.4</v>
      </c>
      <c r="H35" s="14">
        <v>1557.2</v>
      </c>
      <c r="I35" s="14">
        <f>15244.9-597.1</f>
        <v>14647.8</v>
      </c>
      <c r="J35" s="14">
        <v>4580</v>
      </c>
      <c r="K35" s="25">
        <f>L35+M35+N35</f>
        <v>14030</v>
      </c>
      <c r="L35" s="14">
        <v>4080</v>
      </c>
      <c r="M35" s="14">
        <v>650</v>
      </c>
      <c r="N35" s="14">
        <v>9300</v>
      </c>
      <c r="O35" s="15">
        <f t="shared" si="12"/>
        <v>14030</v>
      </c>
      <c r="P35" s="14"/>
      <c r="Q35" s="14"/>
      <c r="R35" s="14"/>
      <c r="S35" s="14"/>
      <c r="T35" s="14"/>
      <c r="U35" s="14"/>
      <c r="V35" s="5">
        <f t="shared" si="5"/>
        <v>0</v>
      </c>
      <c r="W35" s="88">
        <v>174.87</v>
      </c>
      <c r="X35" s="89">
        <v>5582.3</v>
      </c>
      <c r="Y35" s="22">
        <v>12560</v>
      </c>
      <c r="Z35" s="6">
        <f>L35/Y35*100</f>
        <v>32.48407643312102</v>
      </c>
      <c r="AA35" s="130">
        <v>174.86</v>
      </c>
      <c r="AB35" s="132">
        <f>AA35/W35*100</f>
        <v>99.99428146623205</v>
      </c>
    </row>
    <row r="36" spans="1:28" ht="11.25" customHeight="1">
      <c r="A36" s="66" t="s">
        <v>152</v>
      </c>
      <c r="B36" s="72"/>
      <c r="C36" s="14"/>
      <c r="D36" s="14"/>
      <c r="E36" s="14"/>
      <c r="F36" s="11">
        <f t="shared" si="3"/>
        <v>2190.6</v>
      </c>
      <c r="G36" s="14">
        <v>2190.6</v>
      </c>
      <c r="H36" s="14"/>
      <c r="I36" s="14"/>
      <c r="J36" s="14">
        <v>4150</v>
      </c>
      <c r="K36" s="25">
        <f>L36+M36+N36</f>
        <v>2200</v>
      </c>
      <c r="L36" s="14">
        <v>2200</v>
      </c>
      <c r="M36" s="14"/>
      <c r="N36" s="14"/>
      <c r="O36" s="15">
        <f t="shared" si="12"/>
        <v>2200</v>
      </c>
      <c r="P36" s="14"/>
      <c r="Q36" s="14">
        <v>-2435.86</v>
      </c>
      <c r="R36" s="14"/>
      <c r="S36" s="14"/>
      <c r="T36" s="14"/>
      <c r="U36" s="14"/>
      <c r="V36" s="5">
        <f t="shared" si="5"/>
        <v>-2435.86</v>
      </c>
      <c r="W36" s="11"/>
      <c r="X36" s="89"/>
      <c r="Y36" s="22"/>
      <c r="Z36" s="6"/>
      <c r="AA36" s="96"/>
      <c r="AB36" s="132"/>
    </row>
    <row r="37" spans="1:28" ht="17.25" customHeight="1">
      <c r="A37" s="68" t="s">
        <v>82</v>
      </c>
      <c r="B37" s="73" t="s">
        <v>83</v>
      </c>
      <c r="C37" s="5">
        <f aca="true" t="shared" si="14" ref="C37:N37">SUM(C38:C39)</f>
        <v>4478</v>
      </c>
      <c r="D37" s="5">
        <f t="shared" si="14"/>
        <v>0</v>
      </c>
      <c r="E37" s="5">
        <f t="shared" si="14"/>
        <v>5358.2</v>
      </c>
      <c r="F37" s="5">
        <f t="shared" si="14"/>
        <v>7340.799999999999</v>
      </c>
      <c r="G37" s="5">
        <f t="shared" si="14"/>
        <v>7340.799999999999</v>
      </c>
      <c r="H37" s="5">
        <f t="shared" si="14"/>
        <v>0</v>
      </c>
      <c r="I37" s="5">
        <f t="shared" si="14"/>
        <v>0</v>
      </c>
      <c r="J37" s="5">
        <f t="shared" si="14"/>
        <v>9772.8</v>
      </c>
      <c r="K37" s="54">
        <f t="shared" si="14"/>
        <v>7869.3</v>
      </c>
      <c r="L37" s="5">
        <f t="shared" si="14"/>
        <v>7540</v>
      </c>
      <c r="M37" s="5">
        <f t="shared" si="14"/>
        <v>329.3</v>
      </c>
      <c r="N37" s="5">
        <f t="shared" si="14"/>
        <v>0</v>
      </c>
      <c r="O37" s="77">
        <f t="shared" si="12"/>
        <v>7869.3</v>
      </c>
      <c r="P37" s="5">
        <f aca="true" t="shared" si="15" ref="P37:U37">SUM(P38:P39)</f>
        <v>0</v>
      </c>
      <c r="Q37" s="5">
        <f t="shared" si="15"/>
        <v>0</v>
      </c>
      <c r="R37" s="5">
        <f t="shared" si="15"/>
        <v>0</v>
      </c>
      <c r="S37" s="5">
        <f t="shared" si="15"/>
        <v>0</v>
      </c>
      <c r="T37" s="5">
        <f t="shared" si="15"/>
        <v>0</v>
      </c>
      <c r="U37" s="5">
        <f t="shared" si="15"/>
        <v>0</v>
      </c>
      <c r="V37" s="5">
        <f t="shared" si="5"/>
        <v>0</v>
      </c>
      <c r="W37" s="79">
        <f>W38+W39</f>
        <v>3513</v>
      </c>
      <c r="X37" s="79">
        <f>SUM(X38:X39)</f>
        <v>0</v>
      </c>
      <c r="Y37" s="79">
        <f>SUM(Y38:Y39)</f>
        <v>0</v>
      </c>
      <c r="Z37" s="79">
        <f>SUM(Z38:Z39)</f>
        <v>0</v>
      </c>
      <c r="AA37" s="79">
        <f>SUM(AA38:AA39)</f>
        <v>3167.11</v>
      </c>
      <c r="AB37" s="135">
        <f>AA37/W37*100</f>
        <v>90.15399943068603</v>
      </c>
    </row>
    <row r="38" spans="1:28" ht="14.25" customHeight="1">
      <c r="A38" s="66" t="s">
        <v>182</v>
      </c>
      <c r="B38" s="72" t="s">
        <v>84</v>
      </c>
      <c r="C38" s="14">
        <v>4478</v>
      </c>
      <c r="D38" s="14"/>
      <c r="E38" s="14">
        <v>5358.2</v>
      </c>
      <c r="F38" s="11">
        <f t="shared" si="3"/>
        <v>3072.6</v>
      </c>
      <c r="G38" s="14">
        <v>3072.6</v>
      </c>
      <c r="H38" s="14"/>
      <c r="I38" s="14"/>
      <c r="J38" s="14">
        <f>3106.5</f>
        <v>3106.5</v>
      </c>
      <c r="K38" s="25">
        <f>L38+M38+N38</f>
        <v>2700</v>
      </c>
      <c r="L38" s="14">
        <v>2700</v>
      </c>
      <c r="M38" s="14"/>
      <c r="N38" s="14"/>
      <c r="O38" s="15">
        <f t="shared" si="12"/>
        <v>2700</v>
      </c>
      <c r="P38" s="14"/>
      <c r="Q38" s="14"/>
      <c r="R38" s="14"/>
      <c r="S38" s="14"/>
      <c r="T38" s="14"/>
      <c r="U38" s="14"/>
      <c r="V38" s="5">
        <f t="shared" si="5"/>
        <v>0</v>
      </c>
      <c r="W38" s="88">
        <v>2903</v>
      </c>
      <c r="X38" s="89"/>
      <c r="Y38" s="23"/>
      <c r="Z38" s="6"/>
      <c r="AA38" s="95">
        <v>2799.09</v>
      </c>
      <c r="AB38" s="132">
        <f>AA38/W38*100</f>
        <v>96.42059937995178</v>
      </c>
    </row>
    <row r="39" spans="1:28" ht="18" customHeight="1">
      <c r="A39" s="66" t="s">
        <v>192</v>
      </c>
      <c r="B39" s="72" t="s">
        <v>84</v>
      </c>
      <c r="C39" s="14"/>
      <c r="D39" s="14"/>
      <c r="E39" s="14"/>
      <c r="F39" s="11">
        <f t="shared" si="3"/>
        <v>4268.2</v>
      </c>
      <c r="G39" s="14">
        <v>4268.2</v>
      </c>
      <c r="H39" s="14"/>
      <c r="I39" s="14"/>
      <c r="J39" s="14">
        <v>6666.3</v>
      </c>
      <c r="K39" s="25">
        <f>L39+M39+N39</f>
        <v>5169.3</v>
      </c>
      <c r="L39" s="14">
        <v>4840</v>
      </c>
      <c r="M39" s="14">
        <v>329.3</v>
      </c>
      <c r="N39" s="14"/>
      <c r="O39" s="15">
        <f t="shared" si="12"/>
        <v>5169.3</v>
      </c>
      <c r="P39" s="14"/>
      <c r="Q39" s="14"/>
      <c r="R39" s="14"/>
      <c r="S39" s="14"/>
      <c r="T39" s="14"/>
      <c r="U39" s="14"/>
      <c r="V39" s="5">
        <f t="shared" si="5"/>
        <v>0</v>
      </c>
      <c r="W39" s="88">
        <v>610</v>
      </c>
      <c r="X39" s="89"/>
      <c r="Y39" s="23"/>
      <c r="Z39" s="6"/>
      <c r="AA39" s="95">
        <v>368.02</v>
      </c>
      <c r="AB39" s="132">
        <f>AA39/W39*100</f>
        <v>60.3311475409836</v>
      </c>
    </row>
    <row r="40" spans="1:28" ht="16.5" customHeight="1">
      <c r="A40" s="68" t="s">
        <v>193</v>
      </c>
      <c r="B40" s="73" t="s">
        <v>93</v>
      </c>
      <c r="C40" s="5">
        <f aca="true" t="shared" si="16" ref="C40:K40">SUM(C41:C41)</f>
        <v>1000</v>
      </c>
      <c r="D40" s="5">
        <f t="shared" si="16"/>
        <v>0</v>
      </c>
      <c r="E40" s="5">
        <f t="shared" si="16"/>
        <v>8000</v>
      </c>
      <c r="F40" s="5">
        <f t="shared" si="16"/>
        <v>4306</v>
      </c>
      <c r="G40" s="5">
        <f t="shared" si="16"/>
        <v>4146</v>
      </c>
      <c r="H40" s="5">
        <f t="shared" si="16"/>
        <v>0</v>
      </c>
      <c r="I40" s="5">
        <f t="shared" si="16"/>
        <v>160</v>
      </c>
      <c r="J40" s="5">
        <f t="shared" si="16"/>
        <v>13086</v>
      </c>
      <c r="K40" s="54">
        <f t="shared" si="16"/>
        <v>4200</v>
      </c>
      <c r="L40" s="5">
        <f>SUM(L41:L42)</f>
        <v>14536.6</v>
      </c>
      <c r="M40" s="5">
        <f>SUM(M41:M42)</f>
        <v>0</v>
      </c>
      <c r="N40" s="5">
        <f>SUM(N41:N42)</f>
        <v>0</v>
      </c>
      <c r="O40" s="77">
        <f t="shared" si="12"/>
        <v>14536.6</v>
      </c>
      <c r="P40" s="5">
        <f aca="true" t="shared" si="17" ref="P40:U40">SUM(P41:P42)</f>
        <v>0</v>
      </c>
      <c r="Q40" s="5">
        <f t="shared" si="17"/>
        <v>0</v>
      </c>
      <c r="R40" s="5">
        <f t="shared" si="17"/>
        <v>0</v>
      </c>
      <c r="S40" s="5">
        <f t="shared" si="17"/>
        <v>0</v>
      </c>
      <c r="T40" s="5">
        <f t="shared" si="17"/>
        <v>0</v>
      </c>
      <c r="U40" s="5">
        <f t="shared" si="17"/>
        <v>0</v>
      </c>
      <c r="V40" s="5">
        <f aca="true" t="shared" si="18" ref="V40:V49">P40+Q40+R40+U40+S40+T40</f>
        <v>0</v>
      </c>
      <c r="W40" s="79">
        <f>SUM(W41:W42)</f>
        <v>997</v>
      </c>
      <c r="X40" s="79">
        <f>SUM(X41:X42)</f>
        <v>0</v>
      </c>
      <c r="Y40" s="79">
        <f>SUM(Y41:Y42)</f>
        <v>0</v>
      </c>
      <c r="Z40" s="79">
        <f>SUM(Z41:Z42)</f>
        <v>0</v>
      </c>
      <c r="AA40" s="79">
        <f>SUM(AA41:AA42)</f>
        <v>971.66</v>
      </c>
      <c r="AB40" s="135">
        <f>AA40/W40*100</f>
        <v>97.45837512537612</v>
      </c>
    </row>
    <row r="41" spans="1:28" ht="14.25" customHeight="1">
      <c r="A41" s="67" t="s">
        <v>136</v>
      </c>
      <c r="B41" s="72" t="s">
        <v>137</v>
      </c>
      <c r="C41" s="14">
        <v>1000</v>
      </c>
      <c r="D41" s="14"/>
      <c r="E41" s="14">
        <v>8000</v>
      </c>
      <c r="F41" s="11">
        <f aca="true" t="shared" si="19" ref="F41:F47">G41+H41+I41</f>
        <v>4306</v>
      </c>
      <c r="G41" s="14">
        <f>3000+1146</f>
        <v>4146</v>
      </c>
      <c r="H41" s="14"/>
      <c r="I41" s="14">
        <v>160</v>
      </c>
      <c r="J41" s="14">
        <v>13086</v>
      </c>
      <c r="K41" s="25">
        <f>L41+M41+N41</f>
        <v>4200</v>
      </c>
      <c r="L41" s="14">
        <v>4200</v>
      </c>
      <c r="M41" s="14"/>
      <c r="N41" s="14"/>
      <c r="O41" s="15">
        <f t="shared" si="12"/>
        <v>4200</v>
      </c>
      <c r="P41" s="14"/>
      <c r="Q41" s="14"/>
      <c r="R41" s="14"/>
      <c r="S41" s="14"/>
      <c r="T41" s="14"/>
      <c r="U41" s="14"/>
      <c r="V41" s="5">
        <f t="shared" si="18"/>
        <v>0</v>
      </c>
      <c r="W41" s="88">
        <v>997</v>
      </c>
      <c r="X41" s="89"/>
      <c r="Y41" s="23"/>
      <c r="Z41" s="6"/>
      <c r="AA41" s="95">
        <v>971.66</v>
      </c>
      <c r="AB41" s="132">
        <f>AA41/W41*100</f>
        <v>97.45837512537612</v>
      </c>
    </row>
    <row r="42" spans="1:28" ht="14.25" customHeight="1">
      <c r="A42" s="67" t="s">
        <v>138</v>
      </c>
      <c r="B42" s="72" t="s">
        <v>139</v>
      </c>
      <c r="C42" s="14"/>
      <c r="D42" s="14"/>
      <c r="E42" s="14"/>
      <c r="F42" s="11">
        <f t="shared" si="19"/>
        <v>0</v>
      </c>
      <c r="G42" s="14"/>
      <c r="H42" s="14"/>
      <c r="I42" s="14"/>
      <c r="J42" s="14"/>
      <c r="K42" s="25"/>
      <c r="L42" s="14">
        <v>10336.6</v>
      </c>
      <c r="M42" s="14"/>
      <c r="N42" s="14"/>
      <c r="O42" s="15">
        <f t="shared" si="12"/>
        <v>10336.6</v>
      </c>
      <c r="P42" s="14"/>
      <c r="Q42" s="14"/>
      <c r="R42" s="14"/>
      <c r="S42" s="14"/>
      <c r="T42" s="14"/>
      <c r="U42" s="14"/>
      <c r="V42" s="5">
        <f t="shared" si="18"/>
        <v>0</v>
      </c>
      <c r="W42" s="88"/>
      <c r="X42" s="89"/>
      <c r="Y42" s="23"/>
      <c r="Z42" s="6"/>
      <c r="AA42" s="95"/>
      <c r="AB42" s="132"/>
    </row>
    <row r="43" spans="1:28" ht="17.25" customHeight="1">
      <c r="A43" s="68" t="s">
        <v>96</v>
      </c>
      <c r="B43" s="73">
        <v>1000</v>
      </c>
      <c r="C43" s="5">
        <f aca="true" t="shared" si="20" ref="C43:N43">SUM(C44:C44)</f>
        <v>24435</v>
      </c>
      <c r="D43" s="5">
        <f t="shared" si="20"/>
        <v>-4551</v>
      </c>
      <c r="E43" s="5">
        <f t="shared" si="20"/>
        <v>18065</v>
      </c>
      <c r="F43" s="5">
        <f t="shared" si="20"/>
        <v>18065</v>
      </c>
      <c r="G43" s="5">
        <f t="shared" si="20"/>
        <v>0</v>
      </c>
      <c r="H43" s="5">
        <f t="shared" si="20"/>
        <v>18065</v>
      </c>
      <c r="I43" s="5">
        <f t="shared" si="20"/>
        <v>0</v>
      </c>
      <c r="J43" s="5">
        <f t="shared" si="20"/>
        <v>300</v>
      </c>
      <c r="K43" s="54">
        <f t="shared" si="20"/>
        <v>22492</v>
      </c>
      <c r="L43" s="5">
        <f t="shared" si="20"/>
        <v>261</v>
      </c>
      <c r="M43" s="5">
        <f t="shared" si="20"/>
        <v>22231</v>
      </c>
      <c r="N43" s="5">
        <f t="shared" si="20"/>
        <v>0</v>
      </c>
      <c r="O43" s="77">
        <f t="shared" si="12"/>
        <v>22492</v>
      </c>
      <c r="P43" s="5">
        <f aca="true" t="shared" si="21" ref="P43:U43">SUM(P44:P44)</f>
        <v>0</v>
      </c>
      <c r="Q43" s="5">
        <f t="shared" si="21"/>
        <v>83</v>
      </c>
      <c r="R43" s="5">
        <f t="shared" si="21"/>
        <v>0</v>
      </c>
      <c r="S43" s="5">
        <f t="shared" si="21"/>
        <v>0</v>
      </c>
      <c r="T43" s="5">
        <f t="shared" si="21"/>
        <v>0</v>
      </c>
      <c r="U43" s="5">
        <f t="shared" si="21"/>
        <v>0</v>
      </c>
      <c r="V43" s="5">
        <f t="shared" si="18"/>
        <v>83</v>
      </c>
      <c r="W43" s="79">
        <f>SUM(W44:W44)</f>
        <v>0</v>
      </c>
      <c r="X43" s="79">
        <f>SUM(X44:X44)</f>
        <v>0</v>
      </c>
      <c r="Y43" s="79">
        <f>SUM(Y44:Y44)</f>
        <v>0</v>
      </c>
      <c r="Z43" s="79">
        <f>SUM(Z44:Z44)</f>
        <v>0</v>
      </c>
      <c r="AA43" s="79">
        <f>SUM(AA44:AA44)</f>
        <v>0</v>
      </c>
      <c r="AB43" s="132">
        <v>0</v>
      </c>
    </row>
    <row r="44" spans="1:28" ht="16.5" customHeight="1">
      <c r="A44" s="66" t="s">
        <v>179</v>
      </c>
      <c r="B44" s="72">
        <v>1006</v>
      </c>
      <c r="C44" s="14">
        <v>24435</v>
      </c>
      <c r="D44" s="14">
        <v>-4551</v>
      </c>
      <c r="E44" s="14">
        <v>18065</v>
      </c>
      <c r="F44" s="11">
        <f t="shared" si="19"/>
        <v>18065</v>
      </c>
      <c r="G44" s="24"/>
      <c r="H44" s="24">
        <v>18065</v>
      </c>
      <c r="I44" s="24"/>
      <c r="J44" s="24">
        <v>300</v>
      </c>
      <c r="K44" s="25">
        <f>L44+M44+N44</f>
        <v>22492</v>
      </c>
      <c r="L44" s="23">
        <v>261</v>
      </c>
      <c r="M44" s="24">
        <v>22231</v>
      </c>
      <c r="N44" s="24"/>
      <c r="O44" s="15">
        <f t="shared" si="12"/>
        <v>22492</v>
      </c>
      <c r="P44" s="24"/>
      <c r="Q44" s="24">
        <v>83</v>
      </c>
      <c r="R44" s="24"/>
      <c r="S44" s="24"/>
      <c r="T44" s="24"/>
      <c r="U44" s="24"/>
      <c r="V44" s="5">
        <f t="shared" si="18"/>
        <v>83</v>
      </c>
      <c r="W44" s="88"/>
      <c r="X44" s="89"/>
      <c r="Y44" s="23"/>
      <c r="Z44" s="6"/>
      <c r="AA44" s="95"/>
      <c r="AB44" s="132"/>
    </row>
    <row r="45" spans="1:28" ht="12" customHeight="1">
      <c r="A45" s="68" t="s">
        <v>105</v>
      </c>
      <c r="B45" s="76">
        <v>1100</v>
      </c>
      <c r="C45" s="5" t="e">
        <f>SUM(#REF!)</f>
        <v>#REF!</v>
      </c>
      <c r="D45" s="5" t="e">
        <f>SUM(#REF!)</f>
        <v>#REF!</v>
      </c>
      <c r="E45" s="5" t="e">
        <f>SUM(#REF!)</f>
        <v>#REF!</v>
      </c>
      <c r="F45" s="5">
        <f aca="true" t="shared" si="22" ref="F45:N45">SUM(F46:F47)</f>
        <v>37405.2</v>
      </c>
      <c r="G45" s="5">
        <f t="shared" si="22"/>
        <v>37405.2</v>
      </c>
      <c r="H45" s="5">
        <f t="shared" si="22"/>
        <v>0</v>
      </c>
      <c r="I45" s="5">
        <f t="shared" si="22"/>
        <v>0</v>
      </c>
      <c r="J45" s="5">
        <f t="shared" si="22"/>
        <v>1024</v>
      </c>
      <c r="K45" s="54">
        <f t="shared" si="22"/>
        <v>0</v>
      </c>
      <c r="L45" s="5">
        <f t="shared" si="22"/>
        <v>1024</v>
      </c>
      <c r="M45" s="5">
        <f t="shared" si="22"/>
        <v>0</v>
      </c>
      <c r="N45" s="5">
        <f t="shared" si="22"/>
        <v>0</v>
      </c>
      <c r="O45" s="77">
        <f t="shared" si="12"/>
        <v>1024</v>
      </c>
      <c r="P45" s="5">
        <f aca="true" t="shared" si="23" ref="P45:U45">SUM(P46:P47)</f>
        <v>0</v>
      </c>
      <c r="Q45" s="5">
        <f t="shared" si="23"/>
        <v>2600</v>
      </c>
      <c r="R45" s="5">
        <f t="shared" si="23"/>
        <v>0</v>
      </c>
      <c r="S45" s="5">
        <f t="shared" si="23"/>
        <v>0</v>
      </c>
      <c r="T45" s="5">
        <f t="shared" si="23"/>
        <v>0</v>
      </c>
      <c r="U45" s="5">
        <f t="shared" si="23"/>
        <v>0</v>
      </c>
      <c r="V45" s="5">
        <f t="shared" si="18"/>
        <v>2600</v>
      </c>
      <c r="W45" s="79">
        <f>SUM(W46:W46)</f>
        <v>248</v>
      </c>
      <c r="X45" s="79">
        <f>SUM(X46:X46)</f>
        <v>0</v>
      </c>
      <c r="Y45" s="79">
        <f>SUM(Y46:Y46)</f>
        <v>0</v>
      </c>
      <c r="Z45" s="79">
        <f>SUM(Z46:Z46)</f>
        <v>0</v>
      </c>
      <c r="AA45" s="79">
        <f>SUM(AA46:AA46)</f>
        <v>248</v>
      </c>
      <c r="AB45" s="135">
        <f>AA45/W45*100</f>
        <v>100</v>
      </c>
    </row>
    <row r="46" spans="1:28" ht="14.25" customHeight="1">
      <c r="A46" s="66" t="s">
        <v>170</v>
      </c>
      <c r="B46" s="72" t="s">
        <v>146</v>
      </c>
      <c r="C46" s="14"/>
      <c r="D46" s="14"/>
      <c r="E46" s="14"/>
      <c r="F46" s="11">
        <f t="shared" si="19"/>
        <v>0</v>
      </c>
      <c r="G46" s="14"/>
      <c r="H46" s="14"/>
      <c r="I46" s="14"/>
      <c r="J46" s="14">
        <v>1024</v>
      </c>
      <c r="K46" s="25"/>
      <c r="L46" s="14">
        <v>1024</v>
      </c>
      <c r="M46" s="14"/>
      <c r="N46" s="14"/>
      <c r="O46" s="15">
        <f t="shared" si="12"/>
        <v>1024</v>
      </c>
      <c r="P46" s="14"/>
      <c r="Q46" s="14">
        <v>2600</v>
      </c>
      <c r="R46" s="14"/>
      <c r="S46" s="14"/>
      <c r="T46" s="14"/>
      <c r="U46" s="14"/>
      <c r="V46" s="5">
        <f t="shared" si="18"/>
        <v>2600</v>
      </c>
      <c r="W46" s="88">
        <v>248</v>
      </c>
      <c r="X46" s="101"/>
      <c r="Y46" s="23"/>
      <c r="Z46" s="6"/>
      <c r="AA46" s="129">
        <v>248</v>
      </c>
      <c r="AB46" s="132">
        <f>AA46/W46*100</f>
        <v>100</v>
      </c>
    </row>
    <row r="47" spans="1:28" ht="12.75" customHeight="1" hidden="1">
      <c r="A47" s="66" t="s">
        <v>144</v>
      </c>
      <c r="B47" s="72" t="s">
        <v>146</v>
      </c>
      <c r="C47" s="14"/>
      <c r="D47" s="14"/>
      <c r="E47" s="14"/>
      <c r="F47" s="11">
        <f t="shared" si="19"/>
        <v>37405.2</v>
      </c>
      <c r="G47" s="14">
        <f>35055.2+2350</f>
        <v>37405.2</v>
      </c>
      <c r="H47" s="14"/>
      <c r="I47" s="14"/>
      <c r="J47" s="14"/>
      <c r="K47" s="25">
        <f>L47+M47+N47</f>
        <v>0</v>
      </c>
      <c r="L47" s="14"/>
      <c r="M47" s="14"/>
      <c r="N47" s="14"/>
      <c r="O47" s="15">
        <f t="shared" si="12"/>
        <v>0</v>
      </c>
      <c r="P47" s="14"/>
      <c r="Q47" s="14"/>
      <c r="R47" s="14"/>
      <c r="S47" s="14"/>
      <c r="T47" s="14"/>
      <c r="U47" s="14"/>
      <c r="V47" s="5">
        <f t="shared" si="18"/>
        <v>0</v>
      </c>
      <c r="W47" s="79">
        <f>O47+V47</f>
        <v>0</v>
      </c>
      <c r="X47" s="101"/>
      <c r="Y47" s="23"/>
      <c r="Z47" s="6"/>
      <c r="AA47" s="95"/>
      <c r="AB47" s="117" t="e">
        <f>AA47/W47*100</f>
        <v>#DIV/0!</v>
      </c>
    </row>
    <row r="48" spans="1:28" ht="21" customHeight="1" thickBot="1">
      <c r="A48" s="118" t="s">
        <v>108</v>
      </c>
      <c r="B48" s="119"/>
      <c r="C48" s="120" t="e">
        <f>SUM(C12+C21+C24+C29+C34+C37+C40+C43+C45)</f>
        <v>#REF!</v>
      </c>
      <c r="D48" s="120" t="e">
        <f>SUM(D12+D21+D24+D29+D34+D37+D40+D43+D45)</f>
        <v>#REF!</v>
      </c>
      <c r="E48" s="121" t="e">
        <f>SUM(E12+E21+E24+E29+#REF!+E34+E37+E40+E43+E45)</f>
        <v>#REF!</v>
      </c>
      <c r="F48" s="121" t="e">
        <f>SUM(F12+F21+F24+F29+#REF!+F34+F37+F40+F43+F45)</f>
        <v>#REF!</v>
      </c>
      <c r="G48" s="121" t="e">
        <f>SUM(G12+G21+G24+G29+#REF!+G34+G37+G40+G43+G45)</f>
        <v>#REF!</v>
      </c>
      <c r="H48" s="121" t="e">
        <f>SUM(H12+H21+H24+H29+#REF!+H34+H37+H40+H43+H45)</f>
        <v>#REF!</v>
      </c>
      <c r="I48" s="121" t="e">
        <f>SUM(I12+I21+I24+I29+#REF!+I34+I37+I40+I43+I45)</f>
        <v>#REF!</v>
      </c>
      <c r="J48" s="121" t="e">
        <f>SUM(J12+J21+J24+J29+#REF!+J34+J37+J40+J43+J45)</f>
        <v>#REF!</v>
      </c>
      <c r="K48" s="122" t="e">
        <f>SUM(K12+K21+K24+K29+#REF!+K34+K37+K40+K43+K45)</f>
        <v>#REF!</v>
      </c>
      <c r="L48" s="121" t="e">
        <f>SUM(L12+L21+L24+L29+#REF!+L34+L37+L40+L43+L45)</f>
        <v>#REF!</v>
      </c>
      <c r="M48" s="121" t="e">
        <f>SUM(M12+M21+M24+M29+#REF!+M34+M37+M40+M43+M45)</f>
        <v>#REF!</v>
      </c>
      <c r="N48" s="121" t="e">
        <f>SUM(N12+N21+N24+N29+#REF!+N34+N37+N40+N43+N45)</f>
        <v>#REF!</v>
      </c>
      <c r="O48" s="123" t="e">
        <f t="shared" si="12"/>
        <v>#REF!</v>
      </c>
      <c r="P48" s="124" t="e">
        <f>SUM(P12+P21+P24+P29+#REF!+P34+P37+P40+P43+P45)</f>
        <v>#REF!</v>
      </c>
      <c r="Q48" s="124" t="e">
        <f>SUM(Q12+Q21+Q24+Q29+#REF!+Q34+Q37+Q40+Q43+Q45)</f>
        <v>#REF!</v>
      </c>
      <c r="R48" s="125" t="e">
        <f>SUM(R12+R21+R24+R29+#REF!+R34+R37+R40+R43+R45)</f>
        <v>#REF!</v>
      </c>
      <c r="S48" s="124" t="e">
        <f>SUM(S12+S21+S24+S29+#REF!+S34+S37+S40+S43+S45)</f>
        <v>#REF!</v>
      </c>
      <c r="T48" s="124" t="e">
        <f>SUM(T12+T21+T24+T29+#REF!+T34+T37+T40+T43+T45)</f>
        <v>#REF!</v>
      </c>
      <c r="U48" s="124" t="e">
        <f>SUM(U12+U21+U24+U29+#REF!+U34+U37+U40+U43+U45)</f>
        <v>#REF!</v>
      </c>
      <c r="V48" s="120" t="e">
        <f t="shared" si="18"/>
        <v>#REF!</v>
      </c>
      <c r="W48" s="126">
        <f>W12+W19+W21+W24+W29+W34+W37+W40+W43+W45</f>
        <v>39660.280000000006</v>
      </c>
      <c r="X48" s="124" t="e">
        <f>X12+X21+X24+X29+#REF!+X34+X37+X40+X43+X45</f>
        <v>#REF!</v>
      </c>
      <c r="Y48" s="124" t="e">
        <f>Y12+Y21+Y24+Y29+#REF!+Y34+Y37+Y40+Y43+Y45</f>
        <v>#REF!</v>
      </c>
      <c r="Z48" s="124" t="e">
        <f>Z12+Z21+Z24+Z29+#REF!+Z34+Z37+Z40+Z43+Z45</f>
        <v>#REF!</v>
      </c>
      <c r="AA48" s="126">
        <f>AA12+AA19+AA21+AA24+AA29+AA34+AA37+AA40+AA43+AA45</f>
        <v>36536.16</v>
      </c>
      <c r="AB48" s="131">
        <f>AA48/W48*100</f>
        <v>92.12279893132373</v>
      </c>
    </row>
    <row r="49" spans="1:26" ht="8.25" customHeight="1" hidden="1" thickBot="1">
      <c r="A49" s="109" t="s">
        <v>109</v>
      </c>
      <c r="B49" s="110"/>
      <c r="C49" s="111"/>
      <c r="D49" s="111"/>
      <c r="E49" s="112">
        <v>0</v>
      </c>
      <c r="F49" s="113">
        <f>-43123.7-16350</f>
        <v>-59473.7</v>
      </c>
      <c r="G49" s="111"/>
      <c r="H49" s="111"/>
      <c r="I49" s="111"/>
      <c r="J49" s="112">
        <v>0</v>
      </c>
      <c r="K49" s="114">
        <v>0</v>
      </c>
      <c r="L49" s="112">
        <v>63802.8</v>
      </c>
      <c r="M49" s="112">
        <v>0</v>
      </c>
      <c r="N49" s="112">
        <v>0</v>
      </c>
      <c r="O49" s="115">
        <v>-63802.8</v>
      </c>
      <c r="P49" s="112">
        <v>0</v>
      </c>
      <c r="Q49" s="112">
        <v>0</v>
      </c>
      <c r="R49" s="116">
        <v>-15577.01</v>
      </c>
      <c r="S49" s="112"/>
      <c r="T49" s="112"/>
      <c r="U49" s="112">
        <v>0</v>
      </c>
      <c r="V49" s="90">
        <f t="shared" si="18"/>
        <v>-15577.01</v>
      </c>
      <c r="W49" s="104">
        <f>O49+V49</f>
        <v>-79379.81</v>
      </c>
      <c r="X49" s="102"/>
      <c r="Y49" s="91">
        <v>76369.2</v>
      </c>
      <c r="Z49" s="92"/>
    </row>
    <row r="50" spans="1:21" ht="15" customHeight="1">
      <c r="A50" s="44"/>
      <c r="B50" s="75"/>
      <c r="C50" s="45"/>
      <c r="D50" s="45"/>
      <c r="E50" s="45"/>
      <c r="F50" t="s">
        <v>159</v>
      </c>
      <c r="G50" s="42">
        <v>19806.2</v>
      </c>
      <c r="J50" s="62"/>
      <c r="L50" s="62"/>
      <c r="M50" s="43"/>
      <c r="P50" s="80" t="e">
        <f>#REF!-#REF!</f>
        <v>#REF!</v>
      </c>
      <c r="Q50" s="80" t="e">
        <f>#REF!-#REF!</f>
        <v>#REF!</v>
      </c>
      <c r="R50" s="81" t="e">
        <f>#REF!-#REF!</f>
        <v>#REF!</v>
      </c>
      <c r="S50" s="80" t="e">
        <f>#REF!-#REF!</f>
        <v>#REF!</v>
      </c>
      <c r="T50" s="80" t="e">
        <f>#REF!-#REF!</f>
        <v>#REF!</v>
      </c>
      <c r="U50" s="80" t="e">
        <f>#REF!-#REF!</f>
        <v>#REF!</v>
      </c>
    </row>
    <row r="51" spans="1:7" ht="15" customHeight="1">
      <c r="A51" s="133" t="s">
        <v>204</v>
      </c>
      <c r="B51" s="75"/>
      <c r="C51" s="45"/>
      <c r="D51" s="45"/>
      <c r="E51" s="45"/>
      <c r="G51" s="64" t="e">
        <f>#REF!+#REF!+#REF!+#REF!+G50</f>
        <v>#REF!</v>
      </c>
    </row>
    <row r="52" spans="1:5" ht="12.75" customHeight="1">
      <c r="A52" s="44" t="s">
        <v>194</v>
      </c>
      <c r="B52" s="75"/>
      <c r="C52" s="45"/>
      <c r="D52" s="45"/>
      <c r="E52" s="45"/>
    </row>
    <row r="53" spans="1:5" ht="12.75" customHeight="1">
      <c r="A53" s="44"/>
      <c r="B53" s="75"/>
      <c r="C53" s="45"/>
      <c r="D53" s="45"/>
      <c r="E53" s="45"/>
    </row>
    <row r="54" spans="2:5" ht="12.75">
      <c r="B54" s="75"/>
      <c r="C54" s="45"/>
      <c r="D54" s="45"/>
      <c r="E54" s="45"/>
    </row>
    <row r="55" spans="1:5" ht="15">
      <c r="A55" s="44"/>
      <c r="B55" s="75"/>
      <c r="C55" s="45"/>
      <c r="D55" s="45"/>
      <c r="E55" s="45"/>
    </row>
    <row r="56" spans="1:5" ht="15">
      <c r="A56" s="47"/>
      <c r="B56" s="75"/>
      <c r="C56" s="45"/>
      <c r="D56" s="45"/>
      <c r="E56" s="45"/>
    </row>
    <row r="57" spans="1:5" ht="15">
      <c r="A57" s="44"/>
      <c r="B57" s="75"/>
      <c r="C57" s="45"/>
      <c r="D57" s="45"/>
      <c r="E57" s="45"/>
    </row>
    <row r="58" spans="1:5" ht="15">
      <c r="A58" s="44"/>
      <c r="B58" s="75"/>
      <c r="C58" s="45"/>
      <c r="D58" s="45"/>
      <c r="E58" s="45"/>
    </row>
    <row r="59" spans="1:5" ht="12.75">
      <c r="A59" s="45"/>
      <c r="B59" s="75"/>
      <c r="C59" s="45"/>
      <c r="D59" s="45"/>
      <c r="E59" s="45"/>
    </row>
    <row r="60" spans="1:5" ht="15">
      <c r="A60" s="44"/>
      <c r="B60" s="75"/>
      <c r="C60" s="45"/>
      <c r="D60" s="45"/>
      <c r="E60" s="45"/>
    </row>
    <row r="61" spans="1:5" ht="12.75">
      <c r="A61" s="45"/>
      <c r="B61" s="75"/>
      <c r="C61" s="45"/>
      <c r="D61" s="45"/>
      <c r="E61" s="45"/>
    </row>
    <row r="62" spans="1:5" ht="12.75">
      <c r="A62" s="45"/>
      <c r="B62" s="75"/>
      <c r="C62" s="45"/>
      <c r="D62" s="45"/>
      <c r="E62" s="45"/>
    </row>
    <row r="63" spans="1:5" ht="12.75">
      <c r="A63" s="45"/>
      <c r="B63" s="75"/>
      <c r="C63" s="45"/>
      <c r="D63" s="45"/>
      <c r="E63" s="45"/>
    </row>
    <row r="64" spans="1:5" ht="12.75">
      <c r="A64" s="45"/>
      <c r="B64" s="75"/>
      <c r="C64" s="45"/>
      <c r="D64" s="45"/>
      <c r="E64" s="45"/>
    </row>
    <row r="65" spans="1:5" ht="12.75">
      <c r="A65" s="45"/>
      <c r="B65" s="75"/>
      <c r="C65" s="45"/>
      <c r="D65" s="45"/>
      <c r="E65" s="45"/>
    </row>
    <row r="66" spans="1:5" ht="12.75">
      <c r="A66" s="45"/>
      <c r="B66" s="75"/>
      <c r="C66" s="45"/>
      <c r="D66" s="45"/>
      <c r="E66" s="45"/>
    </row>
    <row r="67" spans="1:5" ht="12.75">
      <c r="A67" s="45"/>
      <c r="B67" s="75"/>
      <c r="C67" s="45"/>
      <c r="D67" s="45"/>
      <c r="E67" s="45"/>
    </row>
    <row r="68" spans="1:5" ht="12.75">
      <c r="A68" s="45"/>
      <c r="B68" s="75"/>
      <c r="C68" s="45"/>
      <c r="D68" s="45"/>
      <c r="E68" s="45"/>
    </row>
    <row r="69" spans="1:5" ht="12.75">
      <c r="A69" s="45"/>
      <c r="B69" s="75"/>
      <c r="C69" s="45"/>
      <c r="D69" s="45"/>
      <c r="E69" s="45"/>
    </row>
    <row r="70" spans="1:5" ht="12.75">
      <c r="A70" s="45"/>
      <c r="B70" s="75"/>
      <c r="C70" s="45"/>
      <c r="D70" s="45"/>
      <c r="E70" s="45"/>
    </row>
    <row r="71" spans="1:5" ht="12.75">
      <c r="A71" s="45"/>
      <c r="B71" s="75"/>
      <c r="C71" s="45"/>
      <c r="D71" s="45"/>
      <c r="E71" s="45"/>
    </row>
    <row r="72" spans="1:5" ht="12.75">
      <c r="A72" s="45"/>
      <c r="B72" s="75"/>
      <c r="C72" s="45"/>
      <c r="D72" s="45"/>
      <c r="E72" s="45"/>
    </row>
    <row r="73" spans="1:5" ht="12.75">
      <c r="A73" s="45"/>
      <c r="B73" s="75"/>
      <c r="C73" s="45"/>
      <c r="D73" s="45"/>
      <c r="E73" s="45"/>
    </row>
    <row r="74" spans="1:5" ht="12.75">
      <c r="A74" s="45"/>
      <c r="B74" s="75"/>
      <c r="C74" s="45"/>
      <c r="D74" s="45"/>
      <c r="E74" s="45"/>
    </row>
    <row r="75" spans="1:5" ht="12.75">
      <c r="A75" s="45"/>
      <c r="B75" s="75"/>
      <c r="C75" s="45"/>
      <c r="D75" s="45"/>
      <c r="E75" s="45"/>
    </row>
    <row r="76" spans="1:5" ht="12.75">
      <c r="A76" s="45"/>
      <c r="B76" s="75"/>
      <c r="C76" s="45"/>
      <c r="D76" s="45"/>
      <c r="E76" s="45"/>
    </row>
    <row r="77" spans="1:5" ht="12.75">
      <c r="A77" s="45"/>
      <c r="B77" s="75"/>
      <c r="C77" s="45"/>
      <c r="D77" s="45"/>
      <c r="E77" s="45"/>
    </row>
    <row r="78" spans="1:5" ht="12.75">
      <c r="A78" s="45"/>
      <c r="B78" s="75"/>
      <c r="C78" s="45"/>
      <c r="D78" s="45"/>
      <c r="E78" s="45"/>
    </row>
    <row r="79" spans="1:5" ht="12.75">
      <c r="A79" s="45"/>
      <c r="B79" s="75"/>
      <c r="C79" s="45"/>
      <c r="D79" s="45"/>
      <c r="E79" s="45"/>
    </row>
    <row r="80" spans="1:5" ht="12.75">
      <c r="A80" s="45"/>
      <c r="B80" s="75"/>
      <c r="C80" s="45"/>
      <c r="D80" s="45"/>
      <c r="E80" s="45"/>
    </row>
    <row r="81" spans="1:5" ht="12.75">
      <c r="A81" s="45"/>
      <c r="B81" s="75"/>
      <c r="C81" s="45"/>
      <c r="D81" s="45"/>
      <c r="E81" s="45"/>
    </row>
    <row r="82" spans="1:5" ht="12.75">
      <c r="A82" s="45"/>
      <c r="B82" s="75"/>
      <c r="C82" s="45"/>
      <c r="D82" s="45"/>
      <c r="E82" s="45"/>
    </row>
    <row r="83" spans="1:5" ht="12.75">
      <c r="A83" s="45"/>
      <c r="B83" s="75"/>
      <c r="C83" s="45"/>
      <c r="D83" s="45"/>
      <c r="E83" s="45"/>
    </row>
    <row r="84" spans="1:5" ht="12.75">
      <c r="A84" s="45"/>
      <c r="B84" s="75"/>
      <c r="C84" s="45"/>
      <c r="D84" s="45"/>
      <c r="E84" s="45"/>
    </row>
    <row r="85" spans="1:5" ht="12.75">
      <c r="A85" s="45"/>
      <c r="B85" s="75"/>
      <c r="C85" s="45"/>
      <c r="D85" s="45"/>
      <c r="E85" s="45"/>
    </row>
    <row r="86" spans="1:5" ht="12.75">
      <c r="A86" s="45"/>
      <c r="B86" s="75"/>
      <c r="C86" s="45"/>
      <c r="D86" s="45"/>
      <c r="E86" s="45"/>
    </row>
    <row r="87" spans="1:5" ht="12.75">
      <c r="A87" s="45"/>
      <c r="B87" s="75"/>
      <c r="C87" s="45"/>
      <c r="D87" s="45"/>
      <c r="E87" s="45"/>
    </row>
    <row r="88" spans="1:5" ht="12.75">
      <c r="A88" s="45"/>
      <c r="B88" s="75"/>
      <c r="C88" s="45"/>
      <c r="D88" s="45"/>
      <c r="E88" s="45"/>
    </row>
    <row r="89" spans="1:5" ht="12.75">
      <c r="A89" s="45"/>
      <c r="B89" s="75"/>
      <c r="C89" s="45"/>
      <c r="D89" s="45"/>
      <c r="E89" s="45"/>
    </row>
    <row r="90" spans="1:5" ht="12.75">
      <c r="A90" s="45"/>
      <c r="B90" s="75"/>
      <c r="C90" s="45"/>
      <c r="D90" s="45"/>
      <c r="E90" s="45"/>
    </row>
    <row r="91" spans="1:5" ht="12.75">
      <c r="A91" s="45"/>
      <c r="B91" s="75"/>
      <c r="C91" s="45"/>
      <c r="D91" s="45"/>
      <c r="E91" s="45"/>
    </row>
    <row r="92" spans="1:5" ht="12.75">
      <c r="A92" s="45"/>
      <c r="B92" s="75"/>
      <c r="C92" s="45"/>
      <c r="D92" s="45"/>
      <c r="E92" s="45"/>
    </row>
    <row r="93" spans="1:5" ht="12.75">
      <c r="A93" s="45"/>
      <c r="B93" s="75"/>
      <c r="C93" s="45"/>
      <c r="D93" s="45"/>
      <c r="E93" s="45"/>
    </row>
    <row r="94" spans="1:5" ht="12.75">
      <c r="A94" s="45"/>
      <c r="B94" s="75"/>
      <c r="C94" s="45"/>
      <c r="D94" s="45"/>
      <c r="E94" s="45"/>
    </row>
    <row r="95" spans="1:5" ht="12.75">
      <c r="A95" s="45"/>
      <c r="B95" s="75"/>
      <c r="C95" s="45"/>
      <c r="D95" s="45"/>
      <c r="E95" s="45"/>
    </row>
    <row r="96" spans="1:5" ht="12.75">
      <c r="A96" s="45"/>
      <c r="B96" s="75"/>
      <c r="C96" s="45"/>
      <c r="D96" s="45"/>
      <c r="E96" s="45"/>
    </row>
    <row r="97" spans="1:5" ht="12.75">
      <c r="A97" s="45"/>
      <c r="B97" s="75"/>
      <c r="C97" s="45"/>
      <c r="D97" s="45"/>
      <c r="E97" s="45"/>
    </row>
    <row r="98" spans="1:5" ht="12.75">
      <c r="A98" s="45"/>
      <c r="B98" s="75"/>
      <c r="C98" s="45"/>
      <c r="D98" s="45"/>
      <c r="E98" s="45"/>
    </row>
    <row r="99" spans="1:5" ht="12.75">
      <c r="A99" s="45"/>
      <c r="B99" s="75"/>
      <c r="C99" s="45"/>
      <c r="D99" s="45"/>
      <c r="E99" s="45"/>
    </row>
    <row r="100" spans="1:5" ht="12.75">
      <c r="A100" s="45"/>
      <c r="B100" s="75"/>
      <c r="C100" s="45"/>
      <c r="D100" s="45"/>
      <c r="E100" s="45"/>
    </row>
    <row r="101" spans="1:5" ht="12.75">
      <c r="A101" s="45"/>
      <c r="B101" s="75"/>
      <c r="C101" s="45"/>
      <c r="D101" s="45"/>
      <c r="E101" s="45"/>
    </row>
    <row r="102" spans="1:5" ht="12.75">
      <c r="A102" s="45"/>
      <c r="B102" s="75"/>
      <c r="C102" s="45"/>
      <c r="D102" s="45"/>
      <c r="E102" s="45"/>
    </row>
    <row r="103" spans="1:5" ht="12.75">
      <c r="A103" s="45"/>
      <c r="B103" s="75"/>
      <c r="C103" s="45"/>
      <c r="D103" s="45"/>
      <c r="E103" s="45"/>
    </row>
    <row r="104" spans="1:5" ht="12.75">
      <c r="A104" s="45"/>
      <c r="B104" s="75"/>
      <c r="C104" s="45"/>
      <c r="D104" s="45"/>
      <c r="E104" s="45"/>
    </row>
    <row r="105" spans="1:5" ht="12.75">
      <c r="A105" s="45"/>
      <c r="B105" s="75"/>
      <c r="C105" s="45"/>
      <c r="D105" s="45"/>
      <c r="E105" s="45"/>
    </row>
    <row r="106" spans="1:5" ht="12.75">
      <c r="A106" s="45"/>
      <c r="B106" s="75"/>
      <c r="C106" s="45"/>
      <c r="D106" s="45"/>
      <c r="E106" s="45"/>
    </row>
    <row r="107" spans="1:5" ht="12.75">
      <c r="A107" s="45"/>
      <c r="B107" s="75"/>
      <c r="C107" s="45"/>
      <c r="D107" s="45"/>
      <c r="E107" s="45"/>
    </row>
    <row r="108" spans="1:5" ht="12.75">
      <c r="A108" s="45"/>
      <c r="B108" s="75"/>
      <c r="C108" s="45"/>
      <c r="D108" s="45"/>
      <c r="E108" s="45"/>
    </row>
    <row r="109" spans="1:5" ht="12.75">
      <c r="A109" s="45"/>
      <c r="B109" s="75"/>
      <c r="C109" s="45"/>
      <c r="D109" s="45"/>
      <c r="E109" s="45"/>
    </row>
    <row r="110" spans="1:5" ht="12.75">
      <c r="A110" s="45"/>
      <c r="B110" s="75"/>
      <c r="C110" s="45"/>
      <c r="D110" s="45"/>
      <c r="E110" s="45"/>
    </row>
    <row r="111" spans="1:5" ht="12.75">
      <c r="A111" s="45"/>
      <c r="B111" s="75"/>
      <c r="C111" s="45"/>
      <c r="D111" s="45"/>
      <c r="E111" s="45"/>
    </row>
    <row r="112" spans="1:5" ht="12.75">
      <c r="A112" s="45"/>
      <c r="B112" s="75"/>
      <c r="C112" s="45"/>
      <c r="D112" s="45"/>
      <c r="E112" s="45"/>
    </row>
    <row r="113" spans="1:5" ht="12.75">
      <c r="A113" s="45"/>
      <c r="B113" s="75"/>
      <c r="C113" s="45"/>
      <c r="D113" s="45"/>
      <c r="E113" s="45"/>
    </row>
    <row r="114" spans="1:5" ht="12.75">
      <c r="A114" s="45"/>
      <c r="B114" s="75"/>
      <c r="C114" s="45"/>
      <c r="D114" s="45"/>
      <c r="E114" s="45"/>
    </row>
    <row r="115" spans="1:5" ht="12.75">
      <c r="A115" s="45"/>
      <c r="B115" s="75"/>
      <c r="C115" s="45"/>
      <c r="D115" s="45"/>
      <c r="E115" s="45"/>
    </row>
    <row r="116" spans="1:5" ht="12.75">
      <c r="A116" s="45"/>
      <c r="B116" s="75"/>
      <c r="C116" s="45"/>
      <c r="D116" s="45"/>
      <c r="E116" s="45"/>
    </row>
    <row r="117" spans="1:5" ht="12.75">
      <c r="A117" s="45"/>
      <c r="B117" s="75"/>
      <c r="C117" s="45"/>
      <c r="D117" s="45"/>
      <c r="E117" s="45"/>
    </row>
    <row r="118" spans="1:5" ht="12.75">
      <c r="A118" s="45"/>
      <c r="B118" s="75"/>
      <c r="C118" s="45"/>
      <c r="D118" s="45"/>
      <c r="E118" s="45"/>
    </row>
    <row r="119" spans="1:5" ht="12.75">
      <c r="A119" s="45"/>
      <c r="B119" s="75"/>
      <c r="C119" s="45"/>
      <c r="D119" s="45"/>
      <c r="E119" s="45"/>
    </row>
    <row r="120" spans="1:5" ht="12.75">
      <c r="A120" s="45"/>
      <c r="B120" s="75"/>
      <c r="C120" s="45"/>
      <c r="D120" s="45"/>
      <c r="E120" s="45"/>
    </row>
    <row r="121" spans="1:5" ht="12.75">
      <c r="A121" s="45"/>
      <c r="B121" s="75"/>
      <c r="C121" s="45"/>
      <c r="D121" s="45"/>
      <c r="E121" s="45"/>
    </row>
    <row r="122" spans="1:5" ht="12.75">
      <c r="A122" s="45"/>
      <c r="B122" s="75"/>
      <c r="C122" s="45"/>
      <c r="D122" s="45"/>
      <c r="E122" s="45"/>
    </row>
    <row r="123" spans="1:5" ht="12.75">
      <c r="A123" s="45"/>
      <c r="B123" s="75"/>
      <c r="C123" s="45"/>
      <c r="D123" s="45"/>
      <c r="E123" s="45"/>
    </row>
    <row r="124" spans="1:5" ht="12.75">
      <c r="A124" s="45"/>
      <c r="B124" s="75"/>
      <c r="C124" s="45"/>
      <c r="D124" s="45"/>
      <c r="E124" s="45"/>
    </row>
    <row r="125" spans="1:5" ht="12.75">
      <c r="A125" s="45"/>
      <c r="B125" s="75"/>
      <c r="C125" s="45"/>
      <c r="D125" s="45"/>
      <c r="E125" s="45"/>
    </row>
    <row r="126" spans="1:5" ht="12.75">
      <c r="A126" s="45"/>
      <c r="B126" s="75"/>
      <c r="C126" s="45"/>
      <c r="D126" s="45"/>
      <c r="E126" s="45"/>
    </row>
    <row r="127" spans="1:5" ht="12.75">
      <c r="A127" s="45"/>
      <c r="B127" s="75"/>
      <c r="C127" s="45"/>
      <c r="D127" s="45"/>
      <c r="E127" s="45"/>
    </row>
  </sheetData>
  <mergeCells count="27">
    <mergeCell ref="AA9:AA10"/>
    <mergeCell ref="AB9:AB10"/>
    <mergeCell ref="A8:Y8"/>
    <mergeCell ref="A9:A11"/>
    <mergeCell ref="B9:B11"/>
    <mergeCell ref="C9:E11"/>
    <mergeCell ref="F9:F11"/>
    <mergeCell ref="G9:I9"/>
    <mergeCell ref="R9:R10"/>
    <mergeCell ref="S9:S10"/>
    <mergeCell ref="P9:P10"/>
    <mergeCell ref="Q9:Q10"/>
    <mergeCell ref="J9:J10"/>
    <mergeCell ref="K9:K10"/>
    <mergeCell ref="L9:N9"/>
    <mergeCell ref="O9:O10"/>
    <mergeCell ref="X9:X10"/>
    <mergeCell ref="Y9:Y11"/>
    <mergeCell ref="Z9:Z10"/>
    <mergeCell ref="T9:T10"/>
    <mergeCell ref="U9:U10"/>
    <mergeCell ref="V9:V10"/>
    <mergeCell ref="W9:W10"/>
    <mergeCell ref="W1:AB1"/>
    <mergeCell ref="W2:AB2"/>
    <mergeCell ref="A3:AB3"/>
    <mergeCell ref="A7:AB7"/>
  </mergeCells>
  <printOptions/>
  <pageMargins left="0.984251968503937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2010-03-10T13:53:05Z</cp:lastPrinted>
  <dcterms:created xsi:type="dcterms:W3CDTF">2007-09-24T13:08:31Z</dcterms:created>
  <dcterms:modified xsi:type="dcterms:W3CDTF">2010-03-11T14:54:10Z</dcterms:modified>
  <cp:category/>
  <cp:version/>
  <cp:contentType/>
  <cp:contentStatus/>
</cp:coreProperties>
</file>